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8_{16985981-604F-468E-8B17-90EA69650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-2031" sheetId="1" r:id="rId1"/>
    <sheet name="ATA mazo 2020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5" i="1" l="1"/>
  <c r="BH34" i="1" l="1"/>
  <c r="BG41" i="1" l="1"/>
  <c r="BJ41" i="1" s="1"/>
  <c r="H41" i="1"/>
  <c r="J41" i="1" s="1"/>
  <c r="R41" i="1" s="1"/>
  <c r="T41" i="1" s="1"/>
  <c r="V41" i="1" s="1"/>
  <c r="X41" i="1" s="1"/>
  <c r="BE51" i="1"/>
  <c r="BE56" i="1" s="1"/>
  <c r="BH41" i="1" l="1"/>
  <c r="BI41" i="1"/>
  <c r="BK41" i="1" s="1"/>
  <c r="BM41" i="1" s="1"/>
  <c r="BO41" i="1" s="1"/>
  <c r="BQ41" i="1" s="1"/>
  <c r="BS41" i="1" s="1"/>
  <c r="BU41" i="1" s="1"/>
  <c r="BW41" i="1" s="1"/>
  <c r="BX41" i="1" s="1"/>
  <c r="BX59" i="1"/>
  <c r="BL51" i="1"/>
  <c r="BF59" i="1"/>
  <c r="BG40" i="1"/>
  <c r="H40" i="1"/>
  <c r="J40" i="1" s="1"/>
  <c r="R40" i="1" s="1"/>
  <c r="T40" i="1" s="1"/>
  <c r="V40" i="1" s="1"/>
  <c r="X40" i="1" s="1"/>
  <c r="BG25" i="1"/>
  <c r="H25" i="1"/>
  <c r="J25" i="1" s="1"/>
  <c r="R25" i="1" s="1"/>
  <c r="T25" i="1" s="1"/>
  <c r="V25" i="1" s="1"/>
  <c r="X25" i="1" s="1"/>
  <c r="H19" i="1"/>
  <c r="J19" i="1" s="1"/>
  <c r="R19" i="1" s="1"/>
  <c r="BB19" i="1"/>
  <c r="BB51" i="1" s="1"/>
  <c r="BG34" i="1"/>
  <c r="H34" i="1"/>
  <c r="J34" i="1" s="1"/>
  <c r="R34" i="1" s="1"/>
  <c r="T34" i="1" s="1"/>
  <c r="V34" i="1" s="1"/>
  <c r="X34" i="1" s="1"/>
  <c r="H32" i="1"/>
  <c r="J32" i="1" s="1"/>
  <c r="R32" i="1" s="1"/>
  <c r="T32" i="1" s="1"/>
  <c r="V32" i="1" s="1"/>
  <c r="X32" i="1" s="1"/>
  <c r="Z32" i="1" s="1"/>
  <c r="BJ40" i="1" l="1"/>
  <c r="BJ51" i="1" s="1"/>
  <c r="BH40" i="1"/>
  <c r="BH51" i="1"/>
  <c r="BI40" i="1"/>
  <c r="BK40" i="1" s="1"/>
  <c r="BM40" i="1" s="1"/>
  <c r="BI25" i="1"/>
  <c r="BN51" i="1" l="1"/>
  <c r="BI34" i="1"/>
  <c r="BK34" i="1" s="1"/>
  <c r="BM34" i="1" s="1"/>
  <c r="BO34" i="1" s="1"/>
  <c r="BQ34" i="1" s="1"/>
  <c r="BS34" i="1" s="1"/>
  <c r="BU34" i="1" s="1"/>
  <c r="BW34" i="1" s="1"/>
  <c r="BX34" i="1" s="1"/>
  <c r="BK25" i="1"/>
  <c r="BK51" i="1" s="1"/>
  <c r="BI51" i="1"/>
  <c r="BH59" i="1" s="1"/>
  <c r="B10" i="6"/>
  <c r="BO40" i="1" l="1"/>
  <c r="BM25" i="1"/>
  <c r="BM51" i="1" s="1"/>
  <c r="BN56" i="1"/>
  <c r="BO25" i="1" l="1"/>
  <c r="BO51" i="1" s="1"/>
  <c r="BO56" i="1" s="1"/>
  <c r="BN59" i="1" s="1"/>
  <c r="BC56" i="1"/>
  <c r="BD51" i="1"/>
  <c r="BD56" i="1" s="1"/>
  <c r="BC51" i="1"/>
  <c r="BP51" i="1" l="1"/>
  <c r="BP56" i="1"/>
  <c r="BQ40" i="1"/>
  <c r="BQ25" i="1"/>
  <c r="BF56" i="1"/>
  <c r="BF51" i="1"/>
  <c r="BG51" i="1"/>
  <c r="BG56" i="1" s="1"/>
  <c r="BH56" i="1"/>
  <c r="BJ56" i="1"/>
  <c r="AG29" i="1"/>
  <c r="BQ51" i="1" l="1"/>
  <c r="BQ56" i="1" s="1"/>
  <c r="BP59" i="1" s="1"/>
  <c r="BS25" i="1"/>
  <c r="BM56" i="1"/>
  <c r="BL59" i="1" s="1"/>
  <c r="BL56" i="1"/>
  <c r="BB56" i="1"/>
  <c r="BC59" i="1" s="1"/>
  <c r="AD29" i="1"/>
  <c r="Z29" i="1"/>
  <c r="BR51" i="1" l="1"/>
  <c r="BR56" i="1"/>
  <c r="BS40" i="1"/>
  <c r="BU25" i="1"/>
  <c r="BW25" i="1" s="1"/>
  <c r="BK56" i="1"/>
  <c r="BJ59" i="1" s="1"/>
  <c r="BI56" i="1"/>
  <c r="AW56" i="1"/>
  <c r="AW51" i="1"/>
  <c r="AW74" i="1" s="1"/>
  <c r="AY56" i="1"/>
  <c r="AY51" i="1"/>
  <c r="AY74" i="1" s="1"/>
  <c r="AU56" i="1"/>
  <c r="AU51" i="1"/>
  <c r="AU74" i="1" s="1"/>
  <c r="AS59" i="1"/>
  <c r="AS56" i="1"/>
  <c r="AS51" i="1"/>
  <c r="AS74" i="1" s="1"/>
  <c r="AQ56" i="1"/>
  <c r="AQ51" i="1"/>
  <c r="AQ74" i="1" s="1"/>
  <c r="AO56" i="1"/>
  <c r="AO51" i="1"/>
  <c r="AO74" i="1" s="1"/>
  <c r="AY59" i="1" s="1"/>
  <c r="AM56" i="1"/>
  <c r="AM51" i="1"/>
  <c r="AM74" i="1" s="1"/>
  <c r="AW59" i="1" s="1"/>
  <c r="BS51" i="1" l="1"/>
  <c r="BS56" i="1" s="1"/>
  <c r="BR59" i="1" s="1"/>
  <c r="AU59" i="1"/>
  <c r="AE51" i="1"/>
  <c r="BT51" i="1" l="1"/>
  <c r="BT56" i="1"/>
  <c r="BU40" i="1"/>
  <c r="AD17" i="1"/>
  <c r="BU51" i="1" l="1"/>
  <c r="BU56" i="1" s="1"/>
  <c r="BT59" i="1" s="1"/>
  <c r="AA59" i="1"/>
  <c r="BV51" i="1" l="1"/>
  <c r="BV56" i="1"/>
  <c r="BW40" i="1"/>
  <c r="B11" i="6"/>
  <c r="BW51" i="1" l="1"/>
  <c r="BW56" i="1" s="1"/>
  <c r="BV59" i="1" s="1"/>
  <c r="BX40" i="1"/>
  <c r="B6" i="6"/>
  <c r="BX51" i="1" l="1"/>
  <c r="BX56" i="1"/>
  <c r="AD37" i="1"/>
  <c r="AX51" i="1" s="1"/>
  <c r="I37" i="1"/>
  <c r="K37" i="1" s="1"/>
  <c r="S37" i="1" s="1"/>
  <c r="U37" i="1" s="1"/>
  <c r="W37" i="1" s="1"/>
  <c r="I36" i="1"/>
  <c r="K36" i="1" s="1"/>
  <c r="S36" i="1" s="1"/>
  <c r="U36" i="1" s="1"/>
  <c r="W36" i="1" s="1"/>
  <c r="AD22" i="1"/>
  <c r="AZ51" i="1" l="1"/>
  <c r="AX56" i="1"/>
  <c r="AZ56" i="1" s="1"/>
  <c r="AG45" i="1"/>
  <c r="AJ45" i="1" s="1"/>
  <c r="AG43" i="1"/>
  <c r="AJ43" i="1" s="1"/>
  <c r="H43" i="1"/>
  <c r="I43" i="1"/>
  <c r="K43" i="1"/>
  <c r="S43" i="1"/>
  <c r="U43" i="1"/>
  <c r="H45" i="1"/>
  <c r="I45" i="1"/>
  <c r="K45" i="1"/>
  <c r="S45" i="1"/>
  <c r="U45" i="1"/>
  <c r="X49" i="1"/>
  <c r="Z50" i="1"/>
  <c r="C51" i="1"/>
  <c r="F51" i="1"/>
  <c r="G51" i="1"/>
  <c r="L51" i="1"/>
  <c r="M51" i="1"/>
  <c r="Y51" i="1"/>
  <c r="AA51" i="1"/>
  <c r="AC51" i="1"/>
  <c r="AF51" i="1"/>
  <c r="AI51" i="1"/>
  <c r="AK51" i="1"/>
  <c r="J43" i="1" l="1"/>
  <c r="R43" i="1" s="1"/>
  <c r="T43" i="1" s="1"/>
  <c r="J45" i="1"/>
  <c r="R45" i="1" s="1"/>
  <c r="T45" i="1" s="1"/>
  <c r="V45" i="1" s="1"/>
  <c r="X45" i="1" s="1"/>
  <c r="Z45" i="1" s="1"/>
  <c r="Y59" i="1"/>
  <c r="V43" i="1" l="1"/>
  <c r="X43" i="1" s="1"/>
  <c r="Z43" i="1" l="1"/>
  <c r="I51" i="1" l="1"/>
  <c r="Z13" i="1"/>
  <c r="AB13" i="1" l="1"/>
  <c r="K51" i="1"/>
  <c r="Y56" i="1"/>
  <c r="S51" i="1" l="1"/>
  <c r="Z28" i="1"/>
  <c r="AB28" i="1" l="1"/>
  <c r="Z51" i="1"/>
  <c r="W51" i="1"/>
  <c r="U51" i="1"/>
  <c r="AK56" i="1"/>
  <c r="AI56" i="1"/>
  <c r="AF56" i="1"/>
  <c r="AC56" i="1"/>
  <c r="AA56" i="1"/>
  <c r="AB51" i="1" l="1"/>
  <c r="AD28" i="1"/>
  <c r="Z56" i="1"/>
  <c r="AD70" i="1"/>
  <c r="AC74" i="1"/>
  <c r="AQ59" i="1" l="1"/>
  <c r="X11" i="1"/>
  <c r="H13" i="1"/>
  <c r="J13" i="1" s="1"/>
  <c r="R13" i="1" s="1"/>
  <c r="T13" i="1" s="1"/>
  <c r="V13" i="1" s="1"/>
  <c r="AL51" i="1" l="1"/>
  <c r="AL56" i="1" s="1"/>
  <c r="AK59" i="1" s="1"/>
  <c r="AJ74" i="1"/>
  <c r="AD13" i="1"/>
  <c r="AD51" i="1" s="1"/>
  <c r="H5" i="1"/>
  <c r="H6" i="1"/>
  <c r="J6" i="1" s="1"/>
  <c r="R6" i="1" s="1"/>
  <c r="T6" i="1" s="1"/>
  <c r="H9" i="1"/>
  <c r="J9" i="1" s="1"/>
  <c r="R9" i="1" s="1"/>
  <c r="T9" i="1" s="1"/>
  <c r="V9" i="1" s="1"/>
  <c r="H10" i="1"/>
  <c r="J10" i="1" s="1"/>
  <c r="H11" i="1"/>
  <c r="J11" i="1" s="1"/>
  <c r="R11" i="1" s="1"/>
  <c r="T11" i="1" s="1"/>
  <c r="V11" i="1" s="1"/>
  <c r="H31" i="1"/>
  <c r="J31" i="1" s="1"/>
  <c r="R31" i="1" s="1"/>
  <c r="T31" i="1" s="1"/>
  <c r="V31" i="1" s="1"/>
  <c r="X31" i="1" s="1"/>
  <c r="AO59" i="1"/>
  <c r="AD56" i="1" l="1"/>
  <c r="AC59" i="1" s="1"/>
  <c r="AN51" i="1"/>
  <c r="AN56" i="1" s="1"/>
  <c r="T51" i="1"/>
  <c r="J5" i="1"/>
  <c r="J51" i="1" s="1"/>
  <c r="H51" i="1"/>
  <c r="AD74" i="1"/>
  <c r="AM59" i="1" s="1"/>
  <c r="V6" i="1"/>
  <c r="V51" i="1" s="1"/>
  <c r="AG51" i="1" l="1"/>
  <c r="AP51" i="1"/>
  <c r="AP56" i="1" s="1"/>
  <c r="R5" i="1"/>
  <c r="R51" i="1" s="1"/>
  <c r="T56" i="1"/>
  <c r="X6" i="1"/>
  <c r="X51" i="1" s="1"/>
  <c r="X56" i="1" s="1"/>
  <c r="AG56" i="1" l="1"/>
  <c r="AI59" i="1" s="1"/>
  <c r="AJ51" i="1"/>
  <c r="AJ56" i="1" s="1"/>
  <c r="AR51" i="1"/>
  <c r="AR56" i="1" s="1"/>
  <c r="V56" i="1"/>
  <c r="AF59" i="1" l="1"/>
  <c r="AV51" i="1"/>
  <c r="AV56" i="1" s="1"/>
  <c r="AT51" i="1"/>
  <c r="AT56" i="1" s="1"/>
  <c r="AB56" i="1"/>
  <c r="AB57" i="1"/>
  <c r="Z57" i="1"/>
  <c r="AD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mmartinez</author>
  </authors>
  <commentList>
    <comment ref="M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mmartinez:
</t>
        </r>
        <r>
          <rPr>
            <sz val="8"/>
            <color indexed="81"/>
            <rFont val="Tahoma"/>
            <family val="2"/>
          </rPr>
          <t>los intereses se pagan anualmente.</t>
        </r>
      </text>
    </comment>
    <comment ref="M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solo intereses</t>
        </r>
      </text>
    </comment>
    <comment ref="P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en 2010 solo hay dos cuotas trimestrales
</t>
        </r>
      </text>
    </comment>
    <comment ref="M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mmartinez:
</t>
        </r>
        <r>
          <rPr>
            <sz val="8"/>
            <color indexed="81"/>
            <rFont val="Tahoma"/>
            <family val="2"/>
          </rPr>
          <t>los intereses se pagan anualmente.</t>
        </r>
      </text>
    </comment>
    <comment ref="E4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se introduce un ño adicional de carencia (hasta 28/4/2011)</t>
        </r>
      </text>
    </comment>
    <comment ref="E41" authorId="0" shapeId="0" xr:uid="{81BC7A48-8A80-4009-9EC5-3CA60F0BDBD6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se introduce un ño adicional de carencia (hasta 28/4/2011)</t>
        </r>
      </text>
    </comment>
    <comment ref="A4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no incluyen la deuda de grupo delta</t>
        </r>
      </text>
    </comment>
  </commentList>
</comments>
</file>

<file path=xl/sharedStrings.xml><?xml version="1.0" encoding="utf-8"?>
<sst xmlns="http://schemas.openxmlformats.org/spreadsheetml/2006/main" count="261" uniqueCount="189">
  <si>
    <t>Importe inicial</t>
  </si>
  <si>
    <t>Fecha inicio</t>
  </si>
  <si>
    <t>Fecha fin</t>
  </si>
  <si>
    <t>Importe pdte.de disponer</t>
  </si>
  <si>
    <t>importe</t>
  </si>
  <si>
    <t>fecha</t>
  </si>
  <si>
    <t xml:space="preserve">importe </t>
  </si>
  <si>
    <t>Tipo interés</t>
  </si>
  <si>
    <t>Finalidad</t>
  </si>
  <si>
    <t>Anual</t>
  </si>
  <si>
    <t>Trimestral</t>
  </si>
  <si>
    <t>30-3/6/9/12</t>
  </si>
  <si>
    <t>REFINANCIACIÓN</t>
  </si>
  <si>
    <t>INVERSIONES 2006</t>
  </si>
  <si>
    <t>LA CAIXA</t>
  </si>
  <si>
    <t>VIVIENDAS</t>
  </si>
  <si>
    <t>INVERSIONES 2007</t>
  </si>
  <si>
    <t>PAM   2004 / 2005</t>
  </si>
  <si>
    <t>REFINANCIACIÓN 2008</t>
  </si>
  <si>
    <t>30-jun</t>
  </si>
  <si>
    <t>29-8/11</t>
  </si>
  <si>
    <t>cuota anual + cuotas trimestrales</t>
  </si>
  <si>
    <t>Francés</t>
  </si>
  <si>
    <t>Capital amortizado 2010</t>
  </si>
  <si>
    <t>Capital vivo a 1/1/11</t>
  </si>
  <si>
    <t>Capital amortizado 2011</t>
  </si>
  <si>
    <t>Capital vivo a 1/1/12</t>
  </si>
  <si>
    <t>Capital amortizado 2012</t>
  </si>
  <si>
    <t>Capital amortizado 2013</t>
  </si>
  <si>
    <t>Capital amortizado 2014</t>
  </si>
  <si>
    <t>Capital vivo a 01/01/10*</t>
  </si>
  <si>
    <t>Sistema de amortización</t>
  </si>
  <si>
    <t>"A" constante</t>
  </si>
  <si>
    <t>Capital amortizado 2015</t>
  </si>
  <si>
    <t>Capital amortizado 2016</t>
  </si>
  <si>
    <t xml:space="preserve">TOTALES
</t>
  </si>
  <si>
    <t>BBVA</t>
  </si>
  <si>
    <t>BANKIA</t>
  </si>
  <si>
    <t>IVIMA</t>
  </si>
  <si>
    <t>VIVO 2017</t>
  </si>
  <si>
    <t>"A" constante
Revisión al vencimiento</t>
  </si>
  <si>
    <t>"A" constante
Revisión predefinida</t>
  </si>
  <si>
    <t>Importe
 inicial</t>
  </si>
  <si>
    <t>BANCO SANTANDER</t>
  </si>
  <si>
    <t>REINTEGRO PTE 2008</t>
  </si>
  <si>
    <t>REINTEGRO PTE 2009</t>
  </si>
  <si>
    <t>Capital amortizado 2017</t>
  </si>
  <si>
    <t>REFERENCIA DEL PRÉSTAMO</t>
  </si>
  <si>
    <t>Refinanciación 2004</t>
  </si>
  <si>
    <t>Capital amortizado 2018</t>
  </si>
  <si>
    <t>Inversiones 2006</t>
  </si>
  <si>
    <t>Inversiones 2005</t>
  </si>
  <si>
    <t>Refinanciación 2008</t>
  </si>
  <si>
    <t>Inversiones 2010</t>
  </si>
  <si>
    <t>Capital vivo 01/01/2013</t>
  </si>
  <si>
    <t>Capital vivo a 01/01/2014</t>
  </si>
  <si>
    <t>Capital vivo a 01/01/2015</t>
  </si>
  <si>
    <t>Capital vivo a 01/01/2016</t>
  </si>
  <si>
    <t>Capital vivo a 01/01/2017</t>
  </si>
  <si>
    <t>Capital vivo a 01/01/2019</t>
  </si>
  <si>
    <t xml:space="preserve"> </t>
  </si>
  <si>
    <t>8.254.490,00</t>
  </si>
  <si>
    <t>REFINANCIACIÓN 2016</t>
  </si>
  <si>
    <t>Capital amortizado 2019</t>
  </si>
  <si>
    <t>Capital vivo a 01/01/2020</t>
  </si>
  <si>
    <t>DEUDA FINANCIERA CON OTRAS ADMINISTRACIONES PÚBLICAS (DEVOLUCIÓN PIE ADMINISTRACION DEL ESTADO)</t>
  </si>
  <si>
    <t xml:space="preserve">FONDO VERDE: AÑO FINALIZACIÓN PRÉSTAMO                                   </t>
  </si>
  <si>
    <t xml:space="preserve"> TINTA ROJA: AMORTIZACIÓN EXTRAORDINARIA</t>
  </si>
  <si>
    <t xml:space="preserve">"A" constante LINEAL </t>
  </si>
  <si>
    <t>Euribor año + 0%</t>
  </si>
  <si>
    <t>Eur. Año +0%/    /desde 15-10-14 Eur. Año +1,1%</t>
  </si>
  <si>
    <t>"A" constante (LINEAL)
Revisión al vencimiento</t>
  </si>
  <si>
    <t>Eur. año +  0,05</t>
  </si>
  <si>
    <t>Eur. año + 1,10</t>
  </si>
  <si>
    <t>amortización ordinaria 2016</t>
  </si>
  <si>
    <t>amortización extraordinaria (por refinanciación) 2016</t>
  </si>
  <si>
    <t>FINALIZADO (SUSTITUIDO)</t>
  </si>
  <si>
    <t>REINTEGRO PTE 2013</t>
  </si>
  <si>
    <t xml:space="preserve">INVERSIONES 2016: </t>
  </si>
  <si>
    <t>BANCO SABADELL</t>
  </si>
  <si>
    <t xml:space="preserve">"A" trim. Cte. </t>
  </si>
  <si>
    <t>Eurb trim.+ 0,60%</t>
  </si>
  <si>
    <t>Eurb trim.+ 0,96%</t>
  </si>
  <si>
    <t>SIN INTERÉS</t>
  </si>
  <si>
    <t>I.D.A.E</t>
  </si>
  <si>
    <t xml:space="preserve">amort. ordinaria </t>
  </si>
  <si>
    <t>amort. extra RT+</t>
  </si>
  <si>
    <t>amort. Refinanciación</t>
  </si>
  <si>
    <t>inversiones 2017</t>
  </si>
  <si>
    <t>EFIC ENERGÉTICA 2017</t>
  </si>
  <si>
    <t>Capital vivo a 01/01/2021</t>
  </si>
  <si>
    <t>Capital vivo a 01/01/2022</t>
  </si>
  <si>
    <t>Capital amortizado 2020</t>
  </si>
  <si>
    <t>Capital amortizado 2021</t>
  </si>
  <si>
    <t>ABANCA</t>
  </si>
  <si>
    <t>Eurb trim.+ 0,65%</t>
  </si>
  <si>
    <r>
      <t xml:space="preserve">TOTAL INCLUYENDO </t>
    </r>
    <r>
      <rPr>
        <b/>
        <sz val="5"/>
        <rFont val="Arial"/>
        <family val="2"/>
      </rPr>
      <t>REINTEGROS PTE</t>
    </r>
  </si>
  <si>
    <t>Cuota mensual cte.</t>
  </si>
  <si>
    <r>
      <t xml:space="preserve">Ratio de deuda prevista a </t>
    </r>
    <r>
      <rPr>
        <b/>
        <sz val="4"/>
        <rFont val="Arial"/>
        <family val="2"/>
      </rPr>
      <t>31/12/16</t>
    </r>
  </si>
  <si>
    <r>
      <t xml:space="preserve">Ratio de deuda prevista a </t>
    </r>
    <r>
      <rPr>
        <b/>
        <sz val="4"/>
        <rFont val="Arial"/>
        <family val="2"/>
      </rPr>
      <t>31/12/17</t>
    </r>
  </si>
  <si>
    <t>Variable creciente a razón del 4% anual</t>
  </si>
  <si>
    <t xml:space="preserve">
viviendas sociales</t>
  </si>
  <si>
    <t xml:space="preserve"> 
viviendas sociales</t>
  </si>
  <si>
    <t xml:space="preserve">INVERSIONES 2018: </t>
  </si>
  <si>
    <t>CAIXABANK</t>
  </si>
  <si>
    <t xml:space="preserve"> Centro de Arte 2006</t>
  </si>
  <si>
    <t xml:space="preserve">IVIMA </t>
  </si>
  <si>
    <t>5.804.420,53 ó 6.111.437,43</t>
  </si>
  <si>
    <t>A. CAPITAL</t>
  </si>
  <si>
    <t>A. INTERESES</t>
  </si>
  <si>
    <t>Media</t>
  </si>
  <si>
    <t>Prevista para 2018</t>
  </si>
  <si>
    <t xml:space="preserve">ATA </t>
  </si>
  <si>
    <t>El importe de la anualidad teórica de amortización, de cada uno de los préstamos a largo plazo concertados y de los avalados por la corporación pendientes de reembolso, así como la de la operación proyectada, se determinará en todo caso, en términos constantes, incluyendo los intereses y la cuota anual de amortización, cualquiera que sea la modalidad y condiciones de cada operación.</t>
  </si>
  <si>
    <t>Capital</t>
  </si>
  <si>
    <t>Intereses</t>
  </si>
  <si>
    <t>Recursos CONSOLIDADOS liq. A 31-12-17</t>
  </si>
  <si>
    <t>Recursos liq. NO CONSOLIDADOS 31-12-16</t>
  </si>
  <si>
    <t>*Incluye IDEA, NO Inv. 2018</t>
  </si>
  <si>
    <t>LIBERBANK</t>
  </si>
  <si>
    <t>Eurb trim.+ 0,24%</t>
  </si>
  <si>
    <t>Capital vivo máximo</t>
  </si>
  <si>
    <r>
      <t xml:space="preserve">Ratio de deuda prevista a </t>
    </r>
    <r>
      <rPr>
        <b/>
        <sz val="4"/>
        <rFont val="Arial"/>
        <family val="2"/>
      </rPr>
      <t>31/12/18</t>
    </r>
  </si>
  <si>
    <r>
      <t xml:space="preserve">Ratio de deuda prevista a </t>
    </r>
    <r>
      <rPr>
        <b/>
        <sz val="4"/>
        <rFont val="Arial"/>
        <family val="2"/>
      </rPr>
      <t>31/12/19</t>
    </r>
  </si>
  <si>
    <r>
      <t xml:space="preserve">Ratio de deuda prevista a </t>
    </r>
    <r>
      <rPr>
        <b/>
        <sz val="4"/>
        <rFont val="Arial"/>
        <family val="2"/>
      </rPr>
      <t>31/12/20</t>
    </r>
  </si>
  <si>
    <r>
      <t xml:space="preserve">Ratio de deuda prevista a </t>
    </r>
    <r>
      <rPr>
        <b/>
        <sz val="4"/>
        <rFont val="Arial"/>
        <family val="2"/>
      </rPr>
      <t>31/12/21</t>
    </r>
  </si>
  <si>
    <t>INVERSIONES 2018 COMPLEMENTARIO</t>
  </si>
  <si>
    <t>Eurb trim.+ 0,30%</t>
  </si>
  <si>
    <t>Eurb trim+ 0,55%??</t>
  </si>
  <si>
    <t>Capital amortizado 2022</t>
  </si>
  <si>
    <t>Capital vivo a 01/01/2023</t>
  </si>
  <si>
    <t>Capital amortizado 2023</t>
  </si>
  <si>
    <t>Capital vivo a 01/01/2024</t>
  </si>
  <si>
    <t>Capital amortizado 2024</t>
  </si>
  <si>
    <t>Capital vivo a 01/01/2025</t>
  </si>
  <si>
    <t>Capital amortizado 2025</t>
  </si>
  <si>
    <t>Capital vivo a 01/01/2026</t>
  </si>
  <si>
    <t>Capital amortizado 2026</t>
  </si>
  <si>
    <t>Capital vivo a 01/01/2027</t>
  </si>
  <si>
    <t>Capital amortizado 2027</t>
  </si>
  <si>
    <t>Capital vivo a 01/01/2028</t>
  </si>
  <si>
    <t>Capital amortizado 2028</t>
  </si>
  <si>
    <t>Ratio de deuda prevista a 31/12/20</t>
  </si>
  <si>
    <t>Capital vivo a 01/01/2029</t>
  </si>
  <si>
    <t>Capital amortizado 2029</t>
  </si>
  <si>
    <t>AMORTIZADO ANTICIPA Y CANCELADO 30-12-2019</t>
  </si>
  <si>
    <t>AMORTIZADO ANTICIPA Y CANCELADO 27-12-2019</t>
  </si>
  <si>
    <t>EFIC ENERGÉTICA 2018</t>
  </si>
  <si>
    <t>Inversiones Ppto. 2020</t>
  </si>
  <si>
    <t>Nueva deuda 2020</t>
  </si>
  <si>
    <t>¿¿??</t>
  </si>
  <si>
    <t>Anualidad Real</t>
  </si>
  <si>
    <t>Ayto.</t>
  </si>
  <si>
    <t>Ingresos ctes. sin ajustar</t>
  </si>
  <si>
    <r>
      <t xml:space="preserve">Ratio de deuda prevista a </t>
    </r>
    <r>
      <rPr>
        <b/>
        <sz val="4"/>
        <rFont val="Arial"/>
        <family val="2"/>
      </rPr>
      <t>31/12/22</t>
    </r>
  </si>
  <si>
    <t>previsión al 0,3% para préstamo Inversiones 2020</t>
  </si>
  <si>
    <t>AMORTIZADO ANTICIPA Y CANCELADO 30-12-2020</t>
  </si>
  <si>
    <t>AMORTIZADO ANTICIPA Y CANCELADO 27-2019</t>
  </si>
  <si>
    <t>Nuevo préstamo 2020</t>
  </si>
  <si>
    <t>AMORTIZADO ANTICIPA Y CANCELADO 17-12-2021</t>
  </si>
  <si>
    <t>Inversiones 2007</t>
  </si>
  <si>
    <t>Inversiones 2022 1ª Fase Lote 1</t>
  </si>
  <si>
    <t>Nuevo préstamo 2022</t>
  </si>
  <si>
    <t>"A" constante
Revisión trimestral predefinida</t>
  </si>
  <si>
    <t>Eurb trim.+ 0,31%</t>
  </si>
  <si>
    <t>AMORTIZADO ANTICIPA Y CANCELADO 26-03-2019</t>
  </si>
  <si>
    <t>AMORTIZADO Y CANCELADO 20-06-2016</t>
  </si>
  <si>
    <t>AMORTIZADO ANTIC. Y CANCELADO 20-06-2016</t>
  </si>
  <si>
    <t>AMORTIZADO ANTIC. Y CANCELADO 22-12-2017</t>
  </si>
  <si>
    <t>AMORTIZADO Y CANCELADO 20-07-2016</t>
  </si>
  <si>
    <t>AMORTIZADO Y CANCELADO 21-07-2016</t>
  </si>
  <si>
    <t>UNICAJA</t>
  </si>
  <si>
    <t>Inversiones 2022 1ª Fase Lote 2</t>
  </si>
  <si>
    <t>Dchos. Ctes. Ajust. Liq. 2021</t>
  </si>
  <si>
    <r>
      <t xml:space="preserve">Ratio de deuda prevista a </t>
    </r>
    <r>
      <rPr>
        <b/>
        <sz val="4"/>
        <rFont val="Arial"/>
        <family val="2"/>
      </rPr>
      <t>31/12/23</t>
    </r>
  </si>
  <si>
    <r>
      <t xml:space="preserve">Ratio de deuda prevista a </t>
    </r>
    <r>
      <rPr>
        <b/>
        <sz val="4"/>
        <rFont val="Arial"/>
        <family val="2"/>
      </rPr>
      <t>31/12/24</t>
    </r>
  </si>
  <si>
    <r>
      <t xml:space="preserve">Ratio de deuda prevista a </t>
    </r>
    <r>
      <rPr>
        <b/>
        <sz val="4"/>
        <rFont val="Arial"/>
        <family val="2"/>
      </rPr>
      <t>31/12/25</t>
    </r>
  </si>
  <si>
    <r>
      <t xml:space="preserve">Ratio de deuda prevista a </t>
    </r>
    <r>
      <rPr>
        <b/>
        <sz val="4"/>
        <rFont val="Arial"/>
        <family val="2"/>
      </rPr>
      <t>31/12/26</t>
    </r>
  </si>
  <si>
    <r>
      <t xml:space="preserve">Ratio de deuda prevista a </t>
    </r>
    <r>
      <rPr>
        <b/>
        <sz val="4"/>
        <rFont val="Arial"/>
        <family val="2"/>
      </rPr>
      <t>31/12/27</t>
    </r>
  </si>
  <si>
    <r>
      <t xml:space="preserve">Ratio de deuda prevista a </t>
    </r>
    <r>
      <rPr>
        <b/>
        <sz val="4"/>
        <rFont val="Arial"/>
        <family val="2"/>
      </rPr>
      <t>31/12/28</t>
    </r>
  </si>
  <si>
    <r>
      <t xml:space="preserve">Ratio de deuda prevista a </t>
    </r>
    <r>
      <rPr>
        <b/>
        <sz val="4"/>
        <rFont val="Arial"/>
        <family val="2"/>
      </rPr>
      <t>31/12/29</t>
    </r>
  </si>
  <si>
    <r>
      <t xml:space="preserve">Ratio de deuda prevista a </t>
    </r>
    <r>
      <rPr>
        <b/>
        <sz val="4"/>
        <rFont val="Arial"/>
        <family val="2"/>
      </rPr>
      <t>31/12/30</t>
    </r>
  </si>
  <si>
    <r>
      <t xml:space="preserve">Ratio de deuda prevista a </t>
    </r>
    <r>
      <rPr>
        <b/>
        <sz val="4"/>
        <rFont val="Arial"/>
        <family val="2"/>
      </rPr>
      <t>31/12/31</t>
    </r>
  </si>
  <si>
    <t>PORCENTAJE CAPITAL VIVO (MÁX.: 110%)</t>
  </si>
  <si>
    <t>Inversiones 2022, 2ª Fase, LOTE 1</t>
  </si>
  <si>
    <t>Inversiones 2022, 2ª Fase, LOTE 2</t>
  </si>
  <si>
    <r>
      <t xml:space="preserve">PLAN PLURIANUAL DE AMORTIZACIÓN DE </t>
    </r>
    <r>
      <rPr>
        <b/>
        <u/>
        <sz val="10"/>
        <rFont val="Arial"/>
        <family val="2"/>
      </rPr>
      <t>DEUDA FINANCIERA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2021-2031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(con préstamos 1ª y 2ª Fase 2022)</t>
    </r>
  </si>
  <si>
    <t>PRÉSTAMOS 2022, FASE2</t>
  </si>
  <si>
    <t>Eurb trim.+ 0,50%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</si>
</sst>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\-mmm"/>
    <numFmt numFmtId="165" formatCode="[$-C0A]d\-mmm\-yy;@"/>
    <numFmt numFmtId="166" formatCode="#,##0.00\ &quot;€&quot;"/>
  </numFmts>
  <fonts count="62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6"/>
      <name val="Gill Sans"/>
      <family val="2"/>
    </font>
    <font>
      <sz val="10"/>
      <name val="Arial"/>
      <family val="2"/>
    </font>
    <font>
      <sz val="5"/>
      <name val="Arial"/>
      <family val="2"/>
    </font>
    <font>
      <b/>
      <sz val="6"/>
      <color indexed="18"/>
      <name val="Arial"/>
      <family val="2"/>
    </font>
    <font>
      <b/>
      <sz val="10"/>
      <color indexed="12"/>
      <name val="Arial"/>
      <family val="2"/>
    </font>
    <font>
      <b/>
      <sz val="5"/>
      <name val="Arial"/>
      <family val="2"/>
    </font>
    <font>
      <b/>
      <sz val="4"/>
      <name val="Arial"/>
      <family val="2"/>
    </font>
    <font>
      <b/>
      <sz val="4.5"/>
      <name val="Arial"/>
      <family val="2"/>
    </font>
    <font>
      <b/>
      <sz val="4.5"/>
      <color indexed="17"/>
      <name val="Arial"/>
      <family val="2"/>
    </font>
    <font>
      <b/>
      <sz val="4"/>
      <color indexed="18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b/>
      <sz val="4.5"/>
      <color indexed="56"/>
      <name val="Arial"/>
      <family val="2"/>
    </font>
    <font>
      <b/>
      <sz val="6"/>
      <color rgb="FFFF0000"/>
      <name val="Arial"/>
      <family val="2"/>
    </font>
    <font>
      <sz val="5.5"/>
      <name val="Arial"/>
      <family val="2"/>
    </font>
    <font>
      <i/>
      <sz val="6"/>
      <name val="Arial"/>
      <family val="2"/>
    </font>
    <font>
      <b/>
      <sz val="5"/>
      <color indexed="18"/>
      <name val="Arial"/>
      <family val="2"/>
    </font>
    <font>
      <b/>
      <sz val="5"/>
      <color indexed="12"/>
      <name val="Arial"/>
      <family val="2"/>
    </font>
    <font>
      <b/>
      <sz val="7"/>
      <color theme="0"/>
      <name val="Arial"/>
      <family val="2"/>
    </font>
    <font>
      <b/>
      <sz val="5"/>
      <color theme="0"/>
      <name val="Arial"/>
      <family val="2"/>
    </font>
    <font>
      <i/>
      <sz val="5"/>
      <name val="Arial"/>
      <family val="2"/>
    </font>
    <font>
      <b/>
      <sz val="5.5"/>
      <color indexed="18"/>
      <name val="Arial"/>
      <family val="2"/>
    </font>
    <font>
      <b/>
      <sz val="9"/>
      <color theme="0"/>
      <name val="Arial"/>
      <family val="2"/>
    </font>
    <font>
      <b/>
      <sz val="5.5"/>
      <name val="Arial"/>
      <family val="2"/>
    </font>
    <font>
      <b/>
      <sz val="5"/>
      <color rgb="FFFF0000"/>
      <name val="Arial"/>
      <family val="2"/>
    </font>
    <font>
      <sz val="5"/>
      <color rgb="FFFF0000"/>
      <name val="Arial"/>
      <family val="2"/>
    </font>
    <font>
      <sz val="4.5"/>
      <color theme="1"/>
      <name val="Arial"/>
      <family val="2"/>
    </font>
    <font>
      <sz val="7"/>
      <color rgb="FFFF0000"/>
      <name val="Arial"/>
      <family val="2"/>
    </font>
    <font>
      <b/>
      <sz val="5"/>
      <color indexed="10"/>
      <name val="Arial"/>
      <family val="2"/>
    </font>
    <font>
      <sz val="5"/>
      <color indexed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12"/>
      <name val="Arial"/>
      <family val="2"/>
    </font>
    <font>
      <sz val="4"/>
      <name val="Arial"/>
      <family val="2"/>
    </font>
    <font>
      <sz val="6"/>
      <color rgb="FFFF0000"/>
      <name val="Arial"/>
      <family val="2"/>
    </font>
    <font>
      <b/>
      <sz val="9"/>
      <name val="Arial"/>
      <family val="2"/>
    </font>
    <font>
      <b/>
      <sz val="5.5"/>
      <color indexed="60"/>
      <name val="Arial"/>
      <family val="2"/>
    </font>
    <font>
      <b/>
      <i/>
      <sz val="5.5"/>
      <name val="Arial"/>
      <family val="2"/>
    </font>
    <font>
      <sz val="4.5"/>
      <name val="Arial"/>
      <family val="2"/>
    </font>
    <font>
      <b/>
      <sz val="4"/>
      <color theme="0"/>
      <name val="Arial"/>
      <family val="2"/>
    </font>
    <font>
      <b/>
      <sz val="8"/>
      <color indexed="12"/>
      <name val="Arial"/>
      <family val="2"/>
    </font>
    <font>
      <b/>
      <sz val="5.5"/>
      <color rgb="FFFF0000"/>
      <name val="Arial"/>
      <family val="2"/>
    </font>
    <font>
      <sz val="10"/>
      <color rgb="FF333333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17"/>
      <name val="Arial"/>
      <family val="2"/>
    </font>
    <font>
      <i/>
      <sz val="4"/>
      <color rgb="FFFF0000"/>
      <name val="Arial"/>
      <family val="2"/>
    </font>
    <font>
      <b/>
      <sz val="5"/>
      <color theme="1"/>
      <name val="Arial"/>
      <family val="2"/>
    </font>
    <font>
      <b/>
      <sz val="6"/>
      <color theme="0"/>
      <name val="Arial"/>
      <family val="2"/>
    </font>
    <font>
      <sz val="4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3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5" fontId="1" fillId="0" borderId="0" xfId="0" applyNumberFormat="1" applyFont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15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9" fontId="1" fillId="0" borderId="0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/>
    </xf>
    <xf numFmtId="15" fontId="1" fillId="2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/>
    </xf>
    <xf numFmtId="0" fontId="7" fillId="0" borderId="0" xfId="0" applyFont="1" applyBorder="1"/>
    <xf numFmtId="4" fontId="1" fillId="3" borderId="4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5" xfId="0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15" fontId="10" fillId="0" borderId="5" xfId="0" applyNumberFormat="1" applyFont="1" applyFill="1" applyBorder="1"/>
    <xf numFmtId="4" fontId="10" fillId="0" borderId="5" xfId="0" applyNumberFormat="1" applyFont="1" applyFill="1" applyBorder="1"/>
    <xf numFmtId="4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/>
    </xf>
    <xf numFmtId="0" fontId="10" fillId="0" borderId="7" xfId="0" applyFont="1" applyFill="1" applyBorder="1" applyAlignment="1"/>
    <xf numFmtId="15" fontId="10" fillId="0" borderId="7" xfId="0" applyNumberFormat="1" applyFont="1" applyFill="1" applyBorder="1"/>
    <xf numFmtId="4" fontId="11" fillId="0" borderId="7" xfId="0" applyNumberFormat="1" applyFont="1" applyFill="1" applyBorder="1"/>
    <xf numFmtId="4" fontId="10" fillId="0" borderId="7" xfId="0" applyNumberFormat="1" applyFont="1" applyFill="1" applyBorder="1"/>
    <xf numFmtId="4" fontId="10" fillId="0" borderId="7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/>
    <xf numFmtId="4" fontId="11" fillId="0" borderId="0" xfId="0" applyNumberFormat="1" applyFont="1" applyFill="1" applyBorder="1"/>
    <xf numFmtId="0" fontId="10" fillId="0" borderId="7" xfId="0" applyFont="1" applyFill="1" applyBorder="1" applyAlignment="1">
      <alignment horizontal="left"/>
    </xf>
    <xf numFmtId="9" fontId="10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15" fontId="10" fillId="2" borderId="10" xfId="0" applyNumberFormat="1" applyFont="1" applyFill="1" applyBorder="1"/>
    <xf numFmtId="15" fontId="10" fillId="2" borderId="11" xfId="0" applyNumberFormat="1" applyFont="1" applyFill="1" applyBorder="1"/>
    <xf numFmtId="4" fontId="14" fillId="2" borderId="10" xfId="0" applyNumberFormat="1" applyFont="1" applyFill="1" applyBorder="1" applyAlignment="1">
      <alignment horizontal="center"/>
    </xf>
    <xf numFmtId="4" fontId="14" fillId="2" borderId="9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 wrapText="1"/>
    </xf>
    <xf numFmtId="4" fontId="14" fillId="6" borderId="10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 vertical="center" wrapText="1"/>
    </xf>
    <xf numFmtId="15" fontId="10" fillId="0" borderId="0" xfId="0" applyNumberFormat="1" applyFont="1" applyFill="1" applyBorder="1"/>
    <xf numFmtId="4" fontId="10" fillId="8" borderId="5" xfId="0" applyNumberFormat="1" applyFont="1" applyFill="1" applyBorder="1"/>
    <xf numFmtId="1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wrapText="1"/>
    </xf>
    <xf numFmtId="44" fontId="17" fillId="0" borderId="0" xfId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/>
    <xf numFmtId="4" fontId="10" fillId="2" borderId="8" xfId="0" applyNumberFormat="1" applyFont="1" applyFill="1" applyBorder="1"/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/>
    </xf>
    <xf numFmtId="44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44" fontId="13" fillId="0" borderId="0" xfId="1" applyNumberFormat="1" applyFont="1" applyFill="1" applyBorder="1" applyAlignment="1">
      <alignment horizontal="center"/>
    </xf>
    <xf numFmtId="4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44" fontId="13" fillId="2" borderId="0" xfId="1" applyFont="1" applyFill="1" applyBorder="1" applyAlignment="1">
      <alignment horizontal="center"/>
    </xf>
    <xf numFmtId="44" fontId="19" fillId="5" borderId="0" xfId="1" applyNumberFormat="1" applyFont="1" applyFill="1" applyBorder="1" applyAlignment="1">
      <alignment horizontal="center"/>
    </xf>
    <xf numFmtId="4" fontId="20" fillId="7" borderId="10" xfId="0" applyNumberFormat="1" applyFont="1" applyFill="1" applyBorder="1" applyAlignment="1">
      <alignment horizontal="center"/>
    </xf>
    <xf numFmtId="4" fontId="20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4" fontId="21" fillId="9" borderId="5" xfId="0" applyNumberFormat="1" applyFont="1" applyFill="1" applyBorder="1"/>
    <xf numFmtId="4" fontId="21" fillId="9" borderId="7" xfId="0" applyNumberFormat="1" applyFont="1" applyFill="1" applyBorder="1"/>
    <xf numFmtId="4" fontId="23" fillId="7" borderId="9" xfId="0" applyNumberFormat="1" applyFont="1" applyFill="1" applyBorder="1"/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" fontId="24" fillId="11" borderId="5" xfId="0" applyNumberFormat="1" applyFont="1" applyFill="1" applyBorder="1"/>
    <xf numFmtId="4" fontId="26" fillId="0" borderId="5" xfId="0" applyNumberFormat="1" applyFont="1" applyFill="1" applyBorder="1"/>
    <xf numFmtId="0" fontId="10" fillId="0" borderId="0" xfId="0" applyFont="1" applyFill="1" applyBorder="1" applyAlignment="1">
      <alignment horizontal="center"/>
    </xf>
    <xf numFmtId="4" fontId="10" fillId="8" borderId="0" xfId="0" applyNumberFormat="1" applyFont="1" applyFill="1" applyBorder="1"/>
    <xf numFmtId="4" fontId="10" fillId="2" borderId="0" xfId="0" applyNumberFormat="1" applyFont="1" applyFill="1" applyBorder="1" applyAlignment="1">
      <alignment horizontal="right"/>
    </xf>
    <xf numFmtId="4" fontId="24" fillId="12" borderId="0" xfId="0" applyNumberFormat="1" applyFont="1" applyFill="1" applyBorder="1"/>
    <xf numFmtId="0" fontId="1" fillId="12" borderId="0" xfId="0" applyFont="1" applyFill="1" applyBorder="1"/>
    <xf numFmtId="4" fontId="4" fillId="12" borderId="0" xfId="0" applyNumberFormat="1" applyFont="1" applyFill="1" applyBorder="1" applyAlignment="1">
      <alignment horizontal="center"/>
    </xf>
    <xf numFmtId="15" fontId="10" fillId="12" borderId="0" xfId="0" applyNumberFormat="1" applyFont="1" applyFill="1" applyBorder="1"/>
    <xf numFmtId="4" fontId="10" fillId="12" borderId="0" xfId="0" applyNumberFormat="1" applyFont="1" applyFill="1" applyBorder="1" applyAlignment="1">
      <alignment horizontal="right"/>
    </xf>
    <xf numFmtId="4" fontId="10" fillId="12" borderId="0" xfId="0" applyNumberFormat="1" applyFont="1" applyFill="1" applyBorder="1"/>
    <xf numFmtId="0" fontId="10" fillId="12" borderId="0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left" wrapText="1"/>
    </xf>
    <xf numFmtId="9" fontId="10" fillId="12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4" fontId="10" fillId="12" borderId="5" xfId="0" applyNumberFormat="1" applyFont="1" applyFill="1" applyBorder="1" applyAlignment="1">
      <alignment horizontal="right"/>
    </xf>
    <xf numFmtId="4" fontId="10" fillId="12" borderId="5" xfId="0" applyNumberFormat="1" applyFont="1" applyFill="1" applyBorder="1"/>
    <xf numFmtId="0" fontId="1" fillId="12" borderId="0" xfId="0" applyFont="1" applyFill="1" applyBorder="1" applyAlignment="1">
      <alignment horizontal="center" vertical="center" wrapText="1"/>
    </xf>
    <xf numFmtId="4" fontId="1" fillId="12" borderId="0" xfId="0" applyNumberFormat="1" applyFont="1" applyFill="1" applyBorder="1"/>
    <xf numFmtId="0" fontId="1" fillId="1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4" fontId="4" fillId="11" borderId="5" xfId="0" applyNumberFormat="1" applyFont="1" applyFill="1" applyBorder="1"/>
    <xf numFmtId="0" fontId="10" fillId="12" borderId="7" xfId="0" applyFont="1" applyFill="1" applyBorder="1" applyAlignment="1">
      <alignment horizontal="left"/>
    </xf>
    <xf numFmtId="4" fontId="4" fillId="12" borderId="5" xfId="0" applyNumberFormat="1" applyFont="1" applyFill="1" applyBorder="1" applyAlignment="1">
      <alignment horizontal="center"/>
    </xf>
    <xf numFmtId="15" fontId="10" fillId="12" borderId="7" xfId="0" applyNumberFormat="1" applyFont="1" applyFill="1" applyBorder="1"/>
    <xf numFmtId="4" fontId="11" fillId="12" borderId="7" xfId="0" applyNumberFormat="1" applyFont="1" applyFill="1" applyBorder="1"/>
    <xf numFmtId="4" fontId="10" fillId="12" borderId="7" xfId="0" applyNumberFormat="1" applyFont="1" applyFill="1" applyBorder="1"/>
    <xf numFmtId="4" fontId="10" fillId="12" borderId="7" xfId="0" applyNumberFormat="1" applyFont="1" applyFill="1" applyBorder="1" applyAlignment="1">
      <alignment horizontal="center"/>
    </xf>
    <xf numFmtId="164" fontId="10" fillId="12" borderId="7" xfId="0" applyNumberFormat="1" applyFont="1" applyFill="1" applyBorder="1" applyAlignment="1">
      <alignment horizontal="center"/>
    </xf>
    <xf numFmtId="4" fontId="10" fillId="12" borderId="7" xfId="0" applyNumberFormat="1" applyFont="1" applyFill="1" applyBorder="1" applyAlignment="1">
      <alignment horizontal="right"/>
    </xf>
    <xf numFmtId="49" fontId="10" fillId="12" borderId="7" xfId="0" applyNumberFormat="1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5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4" fillId="6" borderId="1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" fillId="14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4" fontId="25" fillId="2" borderId="5" xfId="0" applyNumberFormat="1" applyFont="1" applyFill="1" applyBorder="1"/>
    <xf numFmtId="4" fontId="32" fillId="10" borderId="11" xfId="0" applyNumberFormat="1" applyFont="1" applyFill="1" applyBorder="1" applyAlignment="1">
      <alignment horizontal="center"/>
    </xf>
    <xf numFmtId="4" fontId="16" fillId="14" borderId="13" xfId="0" applyNumberFormat="1" applyFont="1" applyFill="1" applyBorder="1" applyAlignment="1">
      <alignment horizontal="left"/>
    </xf>
    <xf numFmtId="4" fontId="13" fillId="14" borderId="15" xfId="0" applyNumberFormat="1" applyFont="1" applyFill="1" applyBorder="1" applyAlignment="1">
      <alignment horizontal="center"/>
    </xf>
    <xf numFmtId="4" fontId="35" fillId="14" borderId="3" xfId="0" applyNumberFormat="1" applyFont="1" applyFill="1" applyBorder="1" applyAlignment="1">
      <alignment horizontal="left"/>
    </xf>
    <xf numFmtId="4" fontId="36" fillId="14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44" fontId="22" fillId="12" borderId="0" xfId="1" applyFont="1" applyFill="1" applyBorder="1" applyAlignment="1">
      <alignment horizontal="center"/>
    </xf>
    <xf numFmtId="44" fontId="37" fillId="9" borderId="0" xfId="1" applyFont="1" applyFill="1" applyBorder="1" applyAlignment="1">
      <alignment horizontal="center"/>
    </xf>
    <xf numFmtId="4" fontId="34" fillId="0" borderId="5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39" fillId="0" borderId="0" xfId="0" applyFont="1" applyBorder="1"/>
    <xf numFmtId="4" fontId="16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4" fontId="4" fillId="11" borderId="5" xfId="0" applyNumberFormat="1" applyFont="1" applyFill="1" applyBorder="1" applyAlignment="1">
      <alignment horizontal="right"/>
    </xf>
    <xf numFmtId="166" fontId="31" fillId="0" borderId="0" xfId="0" applyNumberFormat="1" applyFont="1" applyFill="1" applyBorder="1"/>
    <xf numFmtId="4" fontId="25" fillId="2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/>
    <xf numFmtId="166" fontId="25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/>
    </xf>
    <xf numFmtId="166" fontId="13" fillId="0" borderId="5" xfId="0" applyNumberFormat="1" applyFont="1" applyFill="1" applyBorder="1"/>
    <xf numFmtId="4" fontId="25" fillId="0" borderId="5" xfId="0" applyNumberFormat="1" applyFont="1" applyFill="1" applyBorder="1"/>
    <xf numFmtId="0" fontId="45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/>
    <xf numFmtId="4" fontId="46" fillId="0" borderId="0" xfId="0" applyNumberFormat="1" applyFont="1" applyFill="1" applyBorder="1"/>
    <xf numFmtId="4" fontId="48" fillId="2" borderId="9" xfId="0" applyNumberFormat="1" applyFont="1" applyFill="1" applyBorder="1" applyAlignment="1">
      <alignment horizontal="center"/>
    </xf>
    <xf numFmtId="4" fontId="10" fillId="15" borderId="5" xfId="0" applyNumberFormat="1" applyFont="1" applyFill="1" applyBorder="1" applyAlignment="1">
      <alignment horizontal="right"/>
    </xf>
    <xf numFmtId="0" fontId="16" fillId="0" borderId="12" xfId="0" applyFont="1" applyFill="1" applyBorder="1" applyAlignment="1"/>
    <xf numFmtId="0" fontId="25" fillId="0" borderId="0" xfId="0" applyFont="1" applyBorder="1"/>
    <xf numFmtId="0" fontId="49" fillId="4" borderId="0" xfId="0" applyFont="1" applyFill="1" applyBorder="1" applyAlignment="1">
      <alignment horizontal="center" vertical="center" wrapText="1"/>
    </xf>
    <xf numFmtId="4" fontId="34" fillId="2" borderId="0" xfId="0" applyNumberFormat="1" applyFont="1" applyFill="1" applyBorder="1" applyAlignment="1">
      <alignment horizontal="center" vertical="center" wrapText="1"/>
    </xf>
    <xf numFmtId="15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4" fontId="34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4" fontId="30" fillId="12" borderId="0" xfId="0" applyNumberFormat="1" applyFont="1" applyFill="1" applyBorder="1" applyAlignment="1">
      <alignment horizontal="center" vertical="center"/>
    </xf>
    <xf numFmtId="44" fontId="16" fillId="0" borderId="5" xfId="1" applyFont="1" applyFill="1" applyBorder="1" applyAlignment="1">
      <alignment horizontal="center"/>
    </xf>
    <xf numFmtId="44" fontId="50" fillId="15" borderId="5" xfId="1" applyFont="1" applyFill="1" applyBorder="1" applyAlignment="1">
      <alignment horizontal="center"/>
    </xf>
    <xf numFmtId="44" fontId="13" fillId="15" borderId="5" xfId="1" applyFont="1" applyFill="1" applyBorder="1" applyAlignment="1">
      <alignment horizontal="center"/>
    </xf>
    <xf numFmtId="4" fontId="13" fillId="12" borderId="5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center" vertical="center" wrapText="1"/>
    </xf>
    <xf numFmtId="0" fontId="7" fillId="18" borderId="0" xfId="0" applyFont="1" applyFill="1" applyBorder="1"/>
    <xf numFmtId="15" fontId="10" fillId="18" borderId="0" xfId="0" applyNumberFormat="1" applyFont="1" applyFill="1" applyBorder="1"/>
    <xf numFmtId="15" fontId="1" fillId="18" borderId="0" xfId="0" applyNumberFormat="1" applyFont="1" applyFill="1" applyBorder="1"/>
    <xf numFmtId="0" fontId="2" fillId="18" borderId="0" xfId="0" applyFont="1" applyFill="1" applyBorder="1" applyAlignment="1">
      <alignment horizontal="center" vertical="center" wrapText="1"/>
    </xf>
    <xf numFmtId="4" fontId="2" fillId="18" borderId="0" xfId="0" applyNumberFormat="1" applyFont="1" applyFill="1" applyBorder="1" applyAlignment="1">
      <alignment horizontal="center" vertical="center" wrapText="1"/>
    </xf>
    <xf numFmtId="164" fontId="1" fillId="18" borderId="0" xfId="0" applyNumberFormat="1" applyFont="1" applyFill="1" applyBorder="1" applyAlignment="1">
      <alignment horizontal="center"/>
    </xf>
    <xf numFmtId="0" fontId="1" fillId="18" borderId="0" xfId="0" applyFont="1" applyFill="1" applyBorder="1"/>
    <xf numFmtId="0" fontId="1" fillId="18" borderId="0" xfId="0" applyFont="1" applyFill="1" applyBorder="1" applyAlignment="1">
      <alignment horizontal="center" vertical="center" wrapText="1"/>
    </xf>
    <xf numFmtId="4" fontId="16" fillId="18" borderId="0" xfId="0" applyNumberFormat="1" applyFont="1" applyFill="1" applyBorder="1" applyAlignment="1">
      <alignment horizontal="center" vertical="center" wrapText="1"/>
    </xf>
    <xf numFmtId="4" fontId="16" fillId="18" borderId="11" xfId="0" applyNumberFormat="1" applyFont="1" applyFill="1" applyBorder="1" applyAlignment="1">
      <alignment horizontal="center" vertical="center"/>
    </xf>
    <xf numFmtId="4" fontId="27" fillId="18" borderId="11" xfId="0" applyNumberFormat="1" applyFont="1" applyFill="1" applyBorder="1" applyAlignment="1">
      <alignment horizontal="center" vertical="center"/>
    </xf>
    <xf numFmtId="4" fontId="17" fillId="16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166" fontId="45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5" fillId="14" borderId="0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wrapText="1"/>
    </xf>
    <xf numFmtId="4" fontId="24" fillId="11" borderId="5" xfId="0" applyNumberFormat="1" applyFont="1" applyFill="1" applyBorder="1" applyAlignment="1">
      <alignment vertical="center"/>
    </xf>
    <xf numFmtId="0" fontId="44" fillId="0" borderId="13" xfId="0" applyFont="1" applyFill="1" applyBorder="1" applyAlignment="1">
      <alignment horizontal="center"/>
    </xf>
    <xf numFmtId="0" fontId="47" fillId="2" borderId="10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4" fontId="25" fillId="12" borderId="5" xfId="0" applyNumberFormat="1" applyFont="1" applyFill="1" applyBorder="1"/>
    <xf numFmtId="166" fontId="13" fillId="0" borderId="0" xfId="0" applyNumberFormat="1" applyFont="1" applyFill="1" applyBorder="1"/>
    <xf numFmtId="0" fontId="35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right" wrapText="1"/>
    </xf>
    <xf numFmtId="4" fontId="10" fillId="12" borderId="0" xfId="0" applyNumberFormat="1" applyFont="1" applyFill="1" applyBorder="1" applyAlignment="1">
      <alignment horizontal="center" vertical="center" wrapText="1"/>
    </xf>
    <xf numFmtId="15" fontId="1" fillId="12" borderId="0" xfId="0" applyNumberFormat="1" applyFont="1" applyFill="1" applyBorder="1" applyAlignment="1">
      <alignment horizontal="center" vertical="center" wrapText="1"/>
    </xf>
    <xf numFmtId="4" fontId="1" fillId="12" borderId="0" xfId="0" applyNumberFormat="1" applyFont="1" applyFill="1" applyBorder="1" applyAlignment="1">
      <alignment horizontal="center" vertical="center" wrapText="1"/>
    </xf>
    <xf numFmtId="4" fontId="1" fillId="12" borderId="0" xfId="0" applyNumberFormat="1" applyFont="1" applyFill="1" applyBorder="1" applyAlignment="1">
      <alignment horizontal="right" vertical="center" wrapText="1"/>
    </xf>
    <xf numFmtId="15" fontId="1" fillId="12" borderId="0" xfId="0" applyNumberFormat="1" applyFont="1" applyFill="1" applyBorder="1"/>
    <xf numFmtId="4" fontId="11" fillId="12" borderId="0" xfId="0" applyNumberFormat="1" applyFont="1" applyFill="1" applyBorder="1"/>
    <xf numFmtId="4" fontId="10" fillId="12" borderId="0" xfId="0" applyNumberFormat="1" applyFont="1" applyFill="1" applyBorder="1" applyAlignment="1">
      <alignment horizontal="center"/>
    </xf>
    <xf numFmtId="164" fontId="10" fillId="12" borderId="0" xfId="0" applyNumberFormat="1" applyFont="1" applyFill="1" applyBorder="1" applyAlignment="1">
      <alignment horizontal="center"/>
    </xf>
    <xf numFmtId="49" fontId="10" fillId="12" borderId="0" xfId="0" applyNumberFormat="1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 vertical="center" wrapText="1"/>
    </xf>
    <xf numFmtId="4" fontId="26" fillId="12" borderId="0" xfId="0" applyNumberFormat="1" applyFont="1" applyFill="1" applyBorder="1"/>
    <xf numFmtId="166" fontId="26" fillId="12" borderId="0" xfId="0" applyNumberFormat="1" applyFont="1" applyFill="1" applyBorder="1"/>
    <xf numFmtId="4" fontId="25" fillId="12" borderId="0" xfId="0" applyNumberFormat="1" applyFont="1" applyFill="1" applyBorder="1"/>
    <xf numFmtId="4" fontId="25" fillId="12" borderId="0" xfId="0" applyNumberFormat="1" applyFont="1" applyFill="1" applyBorder="1" applyAlignment="1">
      <alignment horizontal="right"/>
    </xf>
    <xf numFmtId="166" fontId="25" fillId="12" borderId="0" xfId="0" applyNumberFormat="1" applyFont="1" applyFill="1" applyBorder="1"/>
    <xf numFmtId="4" fontId="7" fillId="12" borderId="0" xfId="0" applyNumberFormat="1" applyFont="1" applyFill="1" applyBorder="1"/>
    <xf numFmtId="15" fontId="10" fillId="12" borderId="5" xfId="0" applyNumberFormat="1" applyFont="1" applyFill="1" applyBorder="1"/>
    <xf numFmtId="4" fontId="10" fillId="12" borderId="5" xfId="0" applyNumberFormat="1" applyFont="1" applyFill="1" applyBorder="1" applyAlignment="1">
      <alignment horizontal="center"/>
    </xf>
    <xf numFmtId="164" fontId="10" fillId="12" borderId="5" xfId="0" applyNumberFormat="1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 vertical="center" wrapText="1"/>
    </xf>
    <xf numFmtId="44" fontId="13" fillId="12" borderId="5" xfId="1" applyFont="1" applyFill="1" applyBorder="1" applyAlignment="1">
      <alignment horizontal="center"/>
    </xf>
    <xf numFmtId="44" fontId="50" fillId="12" borderId="5" xfId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45" fillId="0" borderId="0" xfId="0" applyFont="1" applyFill="1" applyBorder="1"/>
    <xf numFmtId="0" fontId="45" fillId="12" borderId="0" xfId="0" applyFont="1" applyFill="1" applyBorder="1" applyAlignment="1">
      <alignment horizontal="center" vertical="center" wrapText="1"/>
    </xf>
    <xf numFmtId="4" fontId="53" fillId="13" borderId="11" xfId="0" applyNumberFormat="1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4" fillId="0" borderId="0" xfId="0" applyFont="1"/>
    <xf numFmtId="0" fontId="12" fillId="0" borderId="0" xfId="0" applyFont="1" applyAlignment="1">
      <alignment horizontal="right"/>
    </xf>
    <xf numFmtId="4" fontId="13" fillId="0" borderId="0" xfId="0" applyNumberFormat="1" applyFont="1" applyBorder="1" applyAlignment="1">
      <alignment horizontal="center" vertical="center" wrapText="1"/>
    </xf>
    <xf numFmtId="10" fontId="17" fillId="12" borderId="0" xfId="0" applyNumberFormat="1" applyFont="1" applyFill="1" applyBorder="1" applyAlignment="1">
      <alignment horizontal="center" vertical="center" wrapText="1"/>
    </xf>
    <xf numFmtId="10" fontId="17" fillId="14" borderId="6" xfId="0" applyNumberFormat="1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55" fillId="0" borderId="0" xfId="0" applyFont="1" applyFill="1" applyBorder="1"/>
    <xf numFmtId="0" fontId="56" fillId="12" borderId="8" xfId="0" applyFont="1" applyFill="1" applyBorder="1" applyAlignment="1">
      <alignment horizontal="center"/>
    </xf>
    <xf numFmtId="0" fontId="55" fillId="0" borderId="0" xfId="0" applyFont="1" applyBorder="1"/>
    <xf numFmtId="4" fontId="34" fillId="13" borderId="9" xfId="0" applyNumberFormat="1" applyFont="1" applyFill="1" applyBorder="1" applyAlignment="1">
      <alignment horizontal="center"/>
    </xf>
    <xf numFmtId="4" fontId="53" fillId="13" borderId="9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/>
    <xf numFmtId="166" fontId="36" fillId="0" borderId="0" xfId="0" applyNumberFormat="1" applyFont="1" applyFill="1" applyBorder="1"/>
    <xf numFmtId="166" fontId="16" fillId="11" borderId="0" xfId="0" applyNumberFormat="1" applyFont="1" applyFill="1" applyBorder="1"/>
    <xf numFmtId="0" fontId="58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34" fillId="11" borderId="5" xfId="0" applyNumberFormat="1" applyFont="1" applyFill="1" applyBorder="1"/>
    <xf numFmtId="4" fontId="1" fillId="12" borderId="0" xfId="0" applyNumberFormat="1" applyFont="1" applyFill="1" applyBorder="1" applyAlignment="1">
      <alignment horizontal="right"/>
    </xf>
    <xf numFmtId="44" fontId="13" fillId="12" borderId="0" xfId="0" applyNumberFormat="1" applyFont="1" applyFill="1" applyBorder="1" applyAlignment="1">
      <alignment horizontal="center"/>
    </xf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166" fontId="16" fillId="12" borderId="5" xfId="0" applyNumberFormat="1" applyFont="1" applyFill="1" applyBorder="1"/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166" fontId="16" fillId="12" borderId="0" xfId="0" applyNumberFormat="1" applyFont="1" applyFill="1" applyBorder="1"/>
    <xf numFmtId="4" fontId="27" fillId="18" borderId="0" xfId="0" applyNumberFormat="1" applyFont="1" applyFill="1" applyBorder="1" applyAlignment="1">
      <alignment horizontal="center" vertical="center"/>
    </xf>
    <xf numFmtId="10" fontId="17" fillId="14" borderId="0" xfId="0" applyNumberFormat="1" applyFont="1" applyFill="1" applyBorder="1" applyAlignment="1">
      <alignment horizontal="center" vertical="center" wrapText="1"/>
    </xf>
    <xf numFmtId="4" fontId="59" fillId="0" borderId="0" xfId="0" applyNumberFormat="1" applyFont="1" applyFill="1" applyBorder="1" applyAlignment="1">
      <alignment horizontal="center" vertical="center" wrapText="1"/>
    </xf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166" fontId="13" fillId="12" borderId="5" xfId="0" applyNumberFormat="1" applyFont="1" applyFill="1" applyBorder="1"/>
    <xf numFmtId="0" fontId="3" fillId="17" borderId="0" xfId="0" applyFont="1" applyFill="1" applyBorder="1" applyAlignment="1"/>
    <xf numFmtId="166" fontId="13" fillId="1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4" fontId="60" fillId="19" borderId="8" xfId="0" applyNumberFormat="1" applyFont="1" applyFill="1" applyBorder="1" applyAlignment="1">
      <alignment vertical="center"/>
    </xf>
    <xf numFmtId="4" fontId="60" fillId="12" borderId="0" xfId="0" applyNumberFormat="1" applyFont="1" applyFill="1" applyBorder="1" applyAlignment="1">
      <alignment vertical="center"/>
    </xf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4" fontId="34" fillId="2" borderId="5" xfId="0" applyNumberFormat="1" applyFont="1" applyFill="1" applyBorder="1"/>
    <xf numFmtId="0" fontId="34" fillId="12" borderId="0" xfId="0" applyFont="1" applyFill="1" applyBorder="1" applyAlignment="1">
      <alignment horizontal="center" vertical="center" wrapText="1"/>
    </xf>
    <xf numFmtId="4" fontId="60" fillId="12" borderId="8" xfId="0" applyNumberFormat="1" applyFont="1" applyFill="1" applyBorder="1" applyAlignment="1">
      <alignment vertical="center"/>
    </xf>
    <xf numFmtId="0" fontId="3" fillId="12" borderId="0" xfId="0" applyFont="1" applyFill="1" applyBorder="1" applyAlignment="1"/>
    <xf numFmtId="4" fontId="13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right"/>
    </xf>
    <xf numFmtId="10" fontId="4" fillId="14" borderId="6" xfId="0" applyNumberFormat="1" applyFont="1" applyFill="1" applyBorder="1" applyAlignment="1">
      <alignment horizontal="center" vertical="center" wrapText="1"/>
    </xf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4" fontId="34" fillId="12" borderId="5" xfId="0" applyNumberFormat="1" applyFont="1" applyFill="1" applyBorder="1"/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4" fillId="20" borderId="13" xfId="0" applyFont="1" applyFill="1" applyBorder="1" applyAlignment="1">
      <alignment horizontal="center"/>
    </xf>
    <xf numFmtId="4" fontId="4" fillId="20" borderId="5" xfId="0" applyNumberFormat="1" applyFont="1" applyFill="1" applyBorder="1" applyAlignment="1">
      <alignment horizontal="center"/>
    </xf>
    <xf numFmtId="15" fontId="46" fillId="20" borderId="5" xfId="0" applyNumberFormat="1" applyFont="1" applyFill="1" applyBorder="1"/>
    <xf numFmtId="4" fontId="10" fillId="20" borderId="5" xfId="0" applyNumberFormat="1" applyFont="1" applyFill="1" applyBorder="1"/>
    <xf numFmtId="4" fontId="10" fillId="20" borderId="5" xfId="0" applyNumberFormat="1" applyFont="1" applyFill="1" applyBorder="1" applyAlignment="1">
      <alignment horizontal="center"/>
    </xf>
    <xf numFmtId="164" fontId="10" fillId="20" borderId="5" xfId="0" applyNumberFormat="1" applyFont="1" applyFill="1" applyBorder="1" applyAlignment="1">
      <alignment horizontal="center"/>
    </xf>
    <xf numFmtId="4" fontId="10" fillId="20" borderId="5" xfId="0" applyNumberFormat="1" applyFont="1" applyFill="1" applyBorder="1" applyAlignment="1">
      <alignment horizontal="right"/>
    </xf>
    <xf numFmtId="0" fontId="10" fillId="20" borderId="5" xfId="0" applyFont="1" applyFill="1" applyBorder="1" applyAlignment="1">
      <alignment horizontal="center"/>
    </xf>
    <xf numFmtId="0" fontId="10" fillId="20" borderId="5" xfId="0" applyFont="1" applyFill="1" applyBorder="1" applyAlignment="1">
      <alignment horizontal="center" vertical="center" wrapText="1"/>
    </xf>
    <xf numFmtId="4" fontId="4" fillId="20" borderId="5" xfId="0" applyNumberFormat="1" applyFont="1" applyFill="1" applyBorder="1"/>
    <xf numFmtId="0" fontId="1" fillId="20" borderId="0" xfId="0" applyFont="1" applyFill="1" applyBorder="1" applyAlignment="1">
      <alignment horizontal="center" vertical="center" wrapText="1"/>
    </xf>
    <xf numFmtId="4" fontId="33" fillId="20" borderId="0" xfId="0" applyNumberFormat="1" applyFont="1" applyFill="1" applyBorder="1" applyAlignment="1">
      <alignment horizontal="center" vertical="center"/>
    </xf>
    <xf numFmtId="4" fontId="25" fillId="20" borderId="5" xfId="0" applyNumberFormat="1" applyFont="1" applyFill="1" applyBorder="1"/>
    <xf numFmtId="4" fontId="10" fillId="20" borderId="0" xfId="0" applyNumberFormat="1" applyFont="1" applyFill="1" applyBorder="1"/>
    <xf numFmtId="0" fontId="17" fillId="20" borderId="5" xfId="0" applyFont="1" applyFill="1" applyBorder="1" applyAlignment="1">
      <alignment horizontal="center" vertical="center" wrapText="1"/>
    </xf>
    <xf numFmtId="0" fontId="10" fillId="20" borderId="0" xfId="0" applyFont="1" applyFill="1" applyBorder="1" applyAlignment="1">
      <alignment horizontal="center" vertical="center" wrapText="1"/>
    </xf>
    <xf numFmtId="0" fontId="1" fillId="20" borderId="0" xfId="0" applyFont="1" applyFill="1" applyBorder="1"/>
    <xf numFmtId="4" fontId="33" fillId="12" borderId="0" xfId="0" applyNumberFormat="1" applyFont="1" applyFill="1" applyBorder="1" applyAlignment="1">
      <alignment vertical="center"/>
    </xf>
    <xf numFmtId="4" fontId="33" fillId="12" borderId="5" xfId="0" applyNumberFormat="1" applyFont="1" applyFill="1" applyBorder="1" applyAlignment="1">
      <alignment vertical="center"/>
    </xf>
    <xf numFmtId="4" fontId="33" fillId="12" borderId="8" xfId="0" applyNumberFormat="1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 wrapText="1"/>
    </xf>
    <xf numFmtId="166" fontId="45" fillId="12" borderId="0" xfId="0" applyNumberFormat="1" applyFont="1" applyFill="1" applyBorder="1" applyAlignment="1">
      <alignment horizontal="center" vertical="center" wrapText="1"/>
    </xf>
    <xf numFmtId="166" fontId="13" fillId="12" borderId="0" xfId="0" applyNumberFormat="1" applyFont="1" applyFill="1" applyBorder="1" applyAlignment="1">
      <alignment horizontal="center" vertical="center" wrapText="1"/>
    </xf>
    <xf numFmtId="0" fontId="45" fillId="21" borderId="0" xfId="0" applyFont="1" applyFill="1" applyBorder="1" applyAlignment="1">
      <alignment horizontal="center" vertical="center" wrapText="1"/>
    </xf>
    <xf numFmtId="0" fontId="7" fillId="12" borderId="0" xfId="0" applyFont="1" applyFill="1" applyBorder="1"/>
    <xf numFmtId="4" fontId="56" fillId="12" borderId="0" xfId="0" applyNumberFormat="1" applyFont="1" applyFill="1" applyBorder="1" applyAlignment="1">
      <alignment horizontal="right"/>
    </xf>
    <xf numFmtId="0" fontId="16" fillId="12" borderId="0" xfId="0" applyFont="1" applyFill="1" applyBorder="1" applyAlignment="1">
      <alignment horizontal="center" vertical="center" wrapText="1"/>
    </xf>
    <xf numFmtId="4" fontId="16" fillId="12" borderId="0" xfId="0" applyNumberFormat="1" applyFont="1" applyFill="1" applyBorder="1" applyAlignment="1">
      <alignment horizontal="center" vertical="center" wrapText="1"/>
    </xf>
    <xf numFmtId="164" fontId="13" fillId="12" borderId="0" xfId="0" applyNumberFormat="1" applyFont="1" applyFill="1" applyBorder="1" applyAlignment="1">
      <alignment horizontal="center"/>
    </xf>
    <xf numFmtId="0" fontId="13" fillId="12" borderId="0" xfId="0" applyFont="1" applyFill="1" applyBorder="1"/>
    <xf numFmtId="0" fontId="13" fillId="12" borderId="0" xfId="0" applyFont="1" applyFill="1" applyBorder="1" applyAlignment="1">
      <alignment horizontal="center" vertical="center" wrapText="1"/>
    </xf>
    <xf numFmtId="4" fontId="13" fillId="12" borderId="0" xfId="0" applyNumberFormat="1" applyFont="1" applyFill="1" applyBorder="1" applyAlignment="1">
      <alignment horizontal="center" vertical="center" wrapText="1"/>
    </xf>
    <xf numFmtId="0" fontId="29" fillId="12" borderId="0" xfId="0" applyFont="1" applyFill="1" applyBorder="1" applyAlignment="1">
      <alignment horizontal="center" vertical="center" wrapText="1"/>
    </xf>
    <xf numFmtId="10" fontId="4" fillId="12" borderId="0" xfId="0" applyNumberFormat="1" applyFont="1" applyFill="1" applyBorder="1" applyAlignment="1">
      <alignment horizontal="center" vertical="center" wrapText="1"/>
    </xf>
    <xf numFmtId="4" fontId="60" fillId="19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" fontId="33" fillId="12" borderId="0" xfId="0" applyNumberFormat="1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right" wrapText="1"/>
    </xf>
    <xf numFmtId="4" fontId="4" fillId="12" borderId="5" xfId="0" applyNumberFormat="1" applyFont="1" applyFill="1" applyBorder="1"/>
    <xf numFmtId="0" fontId="17" fillId="12" borderId="5" xfId="0" applyFont="1" applyFill="1" applyBorder="1" applyAlignment="1">
      <alignment horizontal="center" vertical="center" wrapText="1"/>
    </xf>
    <xf numFmtId="0" fontId="45" fillId="12" borderId="8" xfId="0" applyFont="1" applyFill="1" applyBorder="1" applyAlignment="1">
      <alignment horizontal="center" vertical="center" wrapText="1"/>
    </xf>
    <xf numFmtId="44" fontId="16" fillId="0" borderId="0" xfId="1" applyFont="1" applyFill="1" applyBorder="1" applyAlignment="1">
      <alignment horizontal="center"/>
    </xf>
    <xf numFmtId="44" fontId="13" fillId="15" borderId="0" xfId="1" applyFont="1" applyFill="1" applyBorder="1" applyAlignment="1">
      <alignment horizontal="center"/>
    </xf>
    <xf numFmtId="44" fontId="50" fillId="15" borderId="0" xfId="1" applyFont="1" applyFill="1" applyBorder="1" applyAlignment="1">
      <alignment horizontal="center"/>
    </xf>
    <xf numFmtId="4" fontId="13" fillId="12" borderId="0" xfId="0" applyNumberFormat="1" applyFont="1" applyFill="1" applyBorder="1" applyAlignment="1">
      <alignment horizontal="right"/>
    </xf>
    <xf numFmtId="0" fontId="10" fillId="20" borderId="5" xfId="0" applyFont="1" applyFill="1" applyBorder="1" applyAlignment="1">
      <alignment horizontal="left" wrapText="1"/>
    </xf>
    <xf numFmtId="0" fontId="61" fillId="20" borderId="8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60" fillId="19" borderId="0" xfId="0" applyNumberFormat="1" applyFont="1" applyFill="1" applyBorder="1" applyAlignment="1">
      <alignment horizontal="center" vertical="center"/>
    </xf>
    <xf numFmtId="4" fontId="56" fillId="14" borderId="0" xfId="0" applyNumberFormat="1" applyFont="1" applyFill="1" applyBorder="1" applyAlignment="1">
      <alignment horizontal="right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4" fontId="35" fillId="0" borderId="0" xfId="0" applyNumberFormat="1" applyFont="1" applyFill="1" applyBorder="1" applyAlignment="1">
      <alignment horizontal="left" vertical="center" wrapText="1"/>
    </xf>
    <xf numFmtId="4" fontId="57" fillId="11" borderId="0" xfId="0" applyNumberFormat="1" applyFont="1" applyFill="1" applyBorder="1" applyAlignment="1">
      <alignment horizontal="left" vertical="center" wrapText="1"/>
    </xf>
    <xf numFmtId="4" fontId="14" fillId="2" borderId="10" xfId="0" applyNumberFormat="1" applyFont="1" applyFill="1" applyBorder="1" applyAlignment="1">
      <alignment horizontal="center"/>
    </xf>
    <xf numFmtId="0" fontId="10" fillId="0" borderId="12" xfId="0" applyFont="1" applyBorder="1"/>
    <xf numFmtId="0" fontId="10" fillId="0" borderId="11" xfId="0" applyFont="1" applyBorder="1"/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0" fontId="13" fillId="0" borderId="8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33" fillId="12" borderId="0" xfId="0" applyNumberFormat="1" applyFont="1" applyFill="1" applyBorder="1" applyAlignment="1">
      <alignment horizontal="center" vertical="center"/>
    </xf>
    <xf numFmtId="4" fontId="33" fillId="12" borderId="5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PROYECCIÓN DE CAPITAL VIVO POR AÑOS 2021-2031</a:t>
            </a: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('2021-2031'!$BB$55,'2021-2031'!$BD$55,'2021-2031'!$BG$55,'2021-2031'!$BI$55,'2021-2031'!$BK$55,'2021-2031'!$BM$55,'2021-2031'!$BO$55,'2021-2031'!$BQ$55,'2021-2031'!$BS$55,'2021-2031'!$BU$55,'2021-2031'!$BW$55)</c:f>
              <c:numCache>
                <c:formatCode>General</c:formatCod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numCache>
            </c:numRef>
          </c:cat>
          <c:val>
            <c:numRef>
              <c:f>('2021-2031'!$BB$51,'2021-2031'!$BE$51,'2021-2031'!$BG$51,'2021-2031'!$BI$51,'2021-2031'!$BK$51,'2021-2031'!$BM$51,'2021-2031'!$BO$51,'2021-2031'!$BQ$51,'2021-2031'!$BS$51,'2021-2031'!$BU$51,'2021-2031'!$BW$51)</c:f>
              <c:numCache>
                <c:formatCode>#,##0.00</c:formatCode>
                <c:ptCount val="11"/>
                <c:pt idx="0">
                  <c:v>4456273.75</c:v>
                </c:pt>
                <c:pt idx="1">
                  <c:v>30016233.68</c:v>
                </c:pt>
                <c:pt idx="2">
                  <c:v>30016233.68</c:v>
                </c:pt>
                <c:pt idx="3">
                  <c:v>28599338.713437498</c:v>
                </c:pt>
                <c:pt idx="4">
                  <c:v>24847309.508437499</c:v>
                </c:pt>
                <c:pt idx="5">
                  <c:v>21093575.344687499</c:v>
                </c:pt>
                <c:pt idx="6">
                  <c:v>17339841.180937503</c:v>
                </c:pt>
                <c:pt idx="7">
                  <c:v>13586107.0171875</c:v>
                </c:pt>
                <c:pt idx="8">
                  <c:v>9832372.8534375001</c:v>
                </c:pt>
                <c:pt idx="9">
                  <c:v>6078638.6896874998</c:v>
                </c:pt>
                <c:pt idx="10">
                  <c:v>2324904.5259374999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B-4300-8BA1-79DEB925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503327"/>
        <c:axId val="325509567"/>
        <c:axId val="0"/>
      </c:bar3DChart>
      <c:catAx>
        <c:axId val="3255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 2021-2031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9567"/>
        <c:crosses val="autoZero"/>
        <c:auto val="1"/>
        <c:lblAlgn val="ctr"/>
        <c:lblOffset val="100"/>
        <c:noMultiLvlLbl val="0"/>
      </c:catAx>
      <c:valAx>
        <c:axId val="32550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/>
                  <a:t>Importe en €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3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Capital</a:t>
            </a:r>
            <a:r>
              <a:rPr lang="es-ES" sz="1200" baseline="0"/>
              <a:t> amortizado 2021-2031</a:t>
            </a:r>
          </a:p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aseline="0"/>
              <a:t>previsto cada año </a:t>
            </a:r>
            <a:endParaRPr lang="es-ES"/>
          </a:p>
        </c:rich>
      </c:tx>
      <c:layout>
        <c:manualLayout>
          <c:xMode val="edge"/>
          <c:yMode val="edge"/>
          <c:x val="0.27469064047406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97393980574764"/>
          <c:y val="1.7632486950367159E-2"/>
          <c:w val="0.80918613523824989"/>
          <c:h val="0.85939208685870783"/>
        </c:manualLayout>
      </c:layout>
      <c:bar3DChart>
        <c:barDir val="col"/>
        <c:grouping val="standard"/>
        <c:varyColors val="0"/>
        <c:ser>
          <c:idx val="0"/>
          <c:order val="0"/>
          <c:tx>
            <c:v>Capital Amortizado</c:v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numRef>
              <c:f>('2021-2031'!$BB$55,'2021-2031'!$BD$55,'2021-2031'!$BG$55,'2021-2031'!$BI$55,'2021-2031'!$BK$55,'2021-2031'!$BM$55,'2021-2031'!$BO$55,'2021-2031'!$BQ$55,'2021-2031'!$BS$55,'2021-2031'!$BU$55,'2021-2031'!$BW$55)</c:f>
              <c:numCache>
                <c:formatCode>General</c:formatCod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numCache>
            </c:numRef>
          </c:cat>
          <c:val>
            <c:numRef>
              <c:f>('2021-2031'!$BC$51,'2021-2031'!$BF$51,'2021-2031'!$BH$51,'2021-2031'!$BJ$51,'2021-2031'!$BL$51,'2021-2031'!$BN$51,'2021-2031'!$BP$51,'2021-2031'!$BR$51,'2021-2031'!$BT$51,'2021-2031'!$BV$51,'2021-2031'!$BX$51)</c:f>
              <c:numCache>
                <c:formatCode>#,##0.00</c:formatCode>
                <c:ptCount val="11"/>
                <c:pt idx="0">
                  <c:v>4456273.75</c:v>
                </c:pt>
                <c:pt idx="1">
                  <c:v>0</c:v>
                </c:pt>
                <c:pt idx="2">
                  <c:v>1416894.9665625</c:v>
                </c:pt>
                <c:pt idx="3">
                  <c:v>3752029.2050000001</c:v>
                </c:pt>
                <c:pt idx="4">
                  <c:v>3753734.1637500003</c:v>
                </c:pt>
                <c:pt idx="5">
                  <c:v>3753734.1637500003</c:v>
                </c:pt>
                <c:pt idx="6">
                  <c:v>3753734.1637500003</c:v>
                </c:pt>
                <c:pt idx="7">
                  <c:v>3753734.1637500003</c:v>
                </c:pt>
                <c:pt idx="8">
                  <c:v>3753734.1637500003</c:v>
                </c:pt>
                <c:pt idx="9">
                  <c:v>3753734.1637500003</c:v>
                </c:pt>
                <c:pt idx="10">
                  <c:v>2324904.5259374999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0-48FE-8B4F-85989A08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730572671"/>
        <c:axId val="1724085647"/>
        <c:axId val="1655105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Año</c:v>
                </c:tx>
                <c:spPr>
                  <a:pattFill prst="ltDnDiag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solidFill>
                      <a:schemeClr val="accent4"/>
                    </a:solidFill>
                  </a:ln>
                  <a:effectLst/>
                  <a:sp3d>
                    <a:contourClr>
                      <a:schemeClr val="accent4"/>
                    </a:contourClr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('2021-2031'!$BB$55,'2021-2031'!$BD$55,'2021-2031'!$BG$55,'2021-2031'!$BI$55,'2021-2031'!$BK$55,'2021-2031'!$BM$55,'2021-2031'!$BO$55,'2021-2031'!$BQ$55,'2021-2031'!$BS$55,'2021-2031'!$BU$55,'2021-2031'!$BW$55)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('2021-2031'!$BB$55,'2021-2031'!$BD$55,'2021-2031'!$BG$55,'2021-2031'!$BI$55,'2021-2031'!$BK$55,'2021-2031'!$BM$55,'2021-2031'!$BO$55,'2021-2031'!$BQ$55,'2021-2031'!$BS$55,'2021-2031'!$BU$55,'2021-2031'!$BW$55)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2EC0-48FE-8B4F-85989A08D2A3}"/>
                  </c:ext>
                </c:extLst>
              </c15:ser>
            </c15:filteredBarSeries>
          </c:ext>
        </c:extLst>
      </c:bar3DChart>
      <c:dateAx>
        <c:axId val="17305726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4085647"/>
        <c:crosses val="autoZero"/>
        <c:auto val="0"/>
        <c:lblOffset val="100"/>
        <c:baseTimeUnit val="days"/>
      </c:dateAx>
      <c:valAx>
        <c:axId val="172408564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0572671"/>
        <c:crosses val="autoZero"/>
        <c:crossBetween val="between"/>
      </c:valAx>
      <c:serAx>
        <c:axId val="1655105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4085647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8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245533</xdr:colOff>
      <xdr:row>73</xdr:row>
      <xdr:rowOff>33866</xdr:rowOff>
    </xdr:from>
    <xdr:to>
      <xdr:col>60</xdr:col>
      <xdr:colOff>372534</xdr:colOff>
      <xdr:row>106</xdr:row>
      <xdr:rowOff>67733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84849B7-0FAB-4F28-8587-01B46FE21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131233</xdr:colOff>
      <xdr:row>73</xdr:row>
      <xdr:rowOff>76200</xdr:rowOff>
    </xdr:from>
    <xdr:to>
      <xdr:col>72</xdr:col>
      <xdr:colOff>423333</xdr:colOff>
      <xdr:row>106</xdr:row>
      <xdr:rowOff>50800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C3BB6BC-0E6F-49E3-8D8D-FD98B675A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D184"/>
  <sheetViews>
    <sheetView tabSelected="1" topLeftCell="BK1" zoomScale="120" zoomScaleNormal="120" workbookViewId="0">
      <selection activeCell="BK54" sqref="A54:XFD54"/>
    </sheetView>
  </sheetViews>
  <sheetFormatPr baseColWidth="10" defaultColWidth="9.140625" defaultRowHeight="9" x14ac:dyDescent="0.15"/>
  <cols>
    <col min="1" max="1" width="1.140625" style="3" hidden="1" customWidth="1"/>
    <col min="2" max="2" width="12.140625" style="4" customWidth="1"/>
    <col min="3" max="3" width="9.7109375" style="67" customWidth="1"/>
    <col min="4" max="4" width="9.140625" style="5" customWidth="1"/>
    <col min="5" max="5" width="7.7109375" style="5" customWidth="1"/>
    <col min="6" max="6" width="13.42578125" style="3" hidden="1" customWidth="1"/>
    <col min="7" max="7" width="11.5703125" style="3" hidden="1" customWidth="1"/>
    <col min="8" max="8" width="11.28515625" style="3" hidden="1" customWidth="1"/>
    <col min="9" max="9" width="11" style="3" hidden="1" customWidth="1"/>
    <col min="10" max="10" width="11.140625" style="3" hidden="1" customWidth="1"/>
    <col min="11" max="11" width="10.85546875" style="3" hidden="1" customWidth="1"/>
    <col min="12" max="12" width="12.5703125" style="3" hidden="1" customWidth="1"/>
    <col min="13" max="13" width="11.7109375" style="3" hidden="1" customWidth="1"/>
    <col min="14" max="14" width="5.28515625" style="4" hidden="1" customWidth="1"/>
    <col min="15" max="15" width="11.42578125" style="3" hidden="1" customWidth="1"/>
    <col min="16" max="16" width="8.85546875" style="3" hidden="1" customWidth="1"/>
    <col min="17" max="17" width="14.28515625" style="1" hidden="1" customWidth="1"/>
    <col min="18" max="18" width="7.140625" style="1" hidden="1" customWidth="1"/>
    <col min="19" max="19" width="7.5703125" style="1" hidden="1" customWidth="1"/>
    <col min="20" max="20" width="7.28515625" style="1" hidden="1" customWidth="1"/>
    <col min="21" max="21" width="7.85546875" style="1" hidden="1" customWidth="1"/>
    <col min="22" max="22" width="7.7109375" style="1" hidden="1" customWidth="1"/>
    <col min="23" max="23" width="5.42578125" style="1" hidden="1" customWidth="1"/>
    <col min="24" max="24" width="7.5703125" style="1" hidden="1" customWidth="1"/>
    <col min="25" max="25" width="8.140625" style="1" hidden="1" customWidth="1"/>
    <col min="26" max="27" width="7.5703125" style="1" hidden="1" customWidth="1"/>
    <col min="28" max="28" width="8" style="1" hidden="1" customWidth="1"/>
    <col min="29" max="29" width="7" style="1" hidden="1" customWidth="1"/>
    <col min="30" max="30" width="7.85546875" style="1" hidden="1" customWidth="1"/>
    <col min="31" max="31" width="6.5703125" style="1" hidden="1" customWidth="1"/>
    <col min="32" max="32" width="7.7109375" style="1" hidden="1" customWidth="1"/>
    <col min="33" max="33" width="7.28515625" style="1" hidden="1" customWidth="1"/>
    <col min="34" max="35" width="6.85546875" style="1" hidden="1" customWidth="1"/>
    <col min="36" max="36" width="7.140625" style="1" hidden="1" customWidth="1"/>
    <col min="37" max="37" width="7.28515625" style="1" hidden="1" customWidth="1"/>
    <col min="38" max="38" width="7.42578125" style="1" hidden="1" customWidth="1"/>
    <col min="39" max="39" width="7" style="1" hidden="1" customWidth="1"/>
    <col min="40" max="40" width="6.7109375" style="1" hidden="1" customWidth="1"/>
    <col min="41" max="41" width="6.5703125" style="1" hidden="1" customWidth="1"/>
    <col min="42" max="42" width="7.140625" style="1" hidden="1" customWidth="1"/>
    <col min="43" max="43" width="7.42578125" style="1" hidden="1" customWidth="1"/>
    <col min="44" max="44" width="6.5703125" style="1" hidden="1" customWidth="1"/>
    <col min="45" max="45" width="7.42578125" style="1" hidden="1" customWidth="1"/>
    <col min="46" max="46" width="7.7109375" style="1" hidden="1" customWidth="1"/>
    <col min="47" max="47" width="6.7109375" style="1" hidden="1" customWidth="1"/>
    <col min="48" max="50" width="6.5703125" style="1" hidden="1" customWidth="1"/>
    <col min="51" max="52" width="6.42578125" style="1" hidden="1" customWidth="1"/>
    <col min="53" max="53" width="7" style="1" customWidth="1"/>
    <col min="54" max="54" width="11" style="1" customWidth="1"/>
    <col min="55" max="55" width="9.28515625" style="1" customWidth="1"/>
    <col min="56" max="56" width="5.85546875" style="1" customWidth="1"/>
    <col min="57" max="57" width="8.85546875" style="1" customWidth="1"/>
    <col min="58" max="58" width="4.85546875" style="1" customWidth="1"/>
    <col min="59" max="59" width="8.7109375" style="1" customWidth="1"/>
    <col min="60" max="60" width="7.7109375" style="1" customWidth="1"/>
    <col min="61" max="61" width="9" style="1" customWidth="1"/>
    <col min="62" max="62" width="8.42578125" style="1" customWidth="1"/>
    <col min="63" max="63" width="9" style="1" customWidth="1"/>
    <col min="64" max="64" width="8.140625" style="1" customWidth="1"/>
    <col min="65" max="65" width="9.42578125" style="1" customWidth="1"/>
    <col min="66" max="66" width="8.28515625" style="1" customWidth="1"/>
    <col min="67" max="67" width="8.85546875" style="1" customWidth="1"/>
    <col min="68" max="68" width="8.42578125" style="1" customWidth="1"/>
    <col min="69" max="69" width="8.7109375" style="1" customWidth="1"/>
    <col min="70" max="70" width="9.140625" style="1" customWidth="1"/>
    <col min="71" max="72" width="9" style="1" customWidth="1"/>
    <col min="73" max="73" width="8.5703125" style="1" customWidth="1"/>
    <col min="74" max="74" width="8.42578125" style="1" customWidth="1"/>
    <col min="75" max="76" width="8.5703125" style="1" customWidth="1"/>
    <col min="77" max="77" width="13.42578125" style="3" customWidth="1"/>
    <col min="78" max="78" width="9.42578125" style="1" customWidth="1"/>
    <col min="79" max="16384" width="9.140625" style="3"/>
  </cols>
  <sheetData>
    <row r="1" spans="1:82" ht="13.5" thickBot="1" x14ac:dyDescent="0.25">
      <c r="B1" s="318" t="s">
        <v>186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29"/>
    </row>
    <row r="2" spans="1:82" ht="9.75" thickBot="1" x14ac:dyDescent="0.2">
      <c r="M2" s="429" t="s">
        <v>9</v>
      </c>
      <c r="N2" s="429"/>
      <c r="O2" s="429" t="s">
        <v>10</v>
      </c>
      <c r="P2" s="429"/>
      <c r="R2" s="72"/>
      <c r="S2" s="73">
        <v>2013</v>
      </c>
      <c r="T2" s="74"/>
      <c r="U2" s="73">
        <v>2014</v>
      </c>
      <c r="V2" s="74"/>
      <c r="W2" s="73">
        <v>2015</v>
      </c>
      <c r="X2" s="74"/>
      <c r="Y2" s="73">
        <v>2016</v>
      </c>
      <c r="Z2" s="74"/>
      <c r="AA2" s="73">
        <v>2017</v>
      </c>
      <c r="AB2" s="74"/>
      <c r="AC2" s="73">
        <v>2018</v>
      </c>
      <c r="AD2" s="405">
        <v>2019</v>
      </c>
      <c r="AE2" s="414"/>
      <c r="AF2" s="406"/>
      <c r="AG2" s="405">
        <v>2020</v>
      </c>
      <c r="AH2" s="414"/>
      <c r="AI2" s="406"/>
      <c r="AJ2" s="405">
        <v>2021</v>
      </c>
      <c r="AK2" s="406"/>
      <c r="AL2" s="405">
        <v>2022</v>
      </c>
      <c r="AM2" s="406"/>
      <c r="AN2" s="405">
        <v>2023</v>
      </c>
      <c r="AO2" s="406"/>
      <c r="AP2" s="405">
        <v>2024</v>
      </c>
      <c r="AQ2" s="406"/>
      <c r="AR2" s="405">
        <v>2025</v>
      </c>
      <c r="AS2" s="406"/>
      <c r="AT2" s="405">
        <v>2026</v>
      </c>
      <c r="AU2" s="406"/>
      <c r="AV2" s="405">
        <v>2027</v>
      </c>
      <c r="AW2" s="406"/>
      <c r="AX2" s="405">
        <v>2028</v>
      </c>
      <c r="AY2" s="406"/>
      <c r="AZ2" s="403">
        <v>2029</v>
      </c>
      <c r="BA2" s="404"/>
      <c r="BB2" s="405">
        <v>2021</v>
      </c>
      <c r="BC2" s="406"/>
      <c r="BD2" s="405">
        <v>2022</v>
      </c>
      <c r="BE2" s="414"/>
      <c r="BF2" s="406"/>
      <c r="BG2" s="405">
        <v>2023</v>
      </c>
      <c r="BH2" s="406"/>
      <c r="BI2" s="405">
        <v>2024</v>
      </c>
      <c r="BJ2" s="406"/>
      <c r="BK2" s="405">
        <v>2025</v>
      </c>
      <c r="BL2" s="406"/>
      <c r="BM2" s="405">
        <v>2026</v>
      </c>
      <c r="BN2" s="406"/>
      <c r="BO2" s="405">
        <v>2027</v>
      </c>
      <c r="BP2" s="406"/>
      <c r="BQ2" s="405">
        <v>2028</v>
      </c>
      <c r="BR2" s="406"/>
      <c r="BS2" s="405">
        <v>2029</v>
      </c>
      <c r="BT2" s="406"/>
      <c r="BU2" s="405">
        <v>2030</v>
      </c>
      <c r="BV2" s="406"/>
      <c r="BW2" s="405">
        <v>2031</v>
      </c>
      <c r="BX2" s="406"/>
    </row>
    <row r="3" spans="1:82" s="202" customFormat="1" ht="23.25" customHeight="1" thickBot="1" x14ac:dyDescent="0.2">
      <c r="B3" s="203" t="s">
        <v>47</v>
      </c>
      <c r="C3" s="204" t="s">
        <v>42</v>
      </c>
      <c r="D3" s="205" t="s">
        <v>1</v>
      </c>
      <c r="E3" s="205" t="s">
        <v>2</v>
      </c>
      <c r="F3" s="206" t="s">
        <v>30</v>
      </c>
      <c r="G3" s="206" t="s">
        <v>23</v>
      </c>
      <c r="H3" s="206" t="s">
        <v>24</v>
      </c>
      <c r="I3" s="206" t="s">
        <v>25</v>
      </c>
      <c r="J3" s="206" t="s">
        <v>26</v>
      </c>
      <c r="K3" s="206" t="s">
        <v>27</v>
      </c>
      <c r="L3" s="206" t="s">
        <v>3</v>
      </c>
      <c r="M3" s="207" t="s">
        <v>4</v>
      </c>
      <c r="N3" s="208" t="s">
        <v>5</v>
      </c>
      <c r="O3" s="207" t="s">
        <v>6</v>
      </c>
      <c r="P3" s="208" t="s">
        <v>5</v>
      </c>
      <c r="Q3" s="206" t="s">
        <v>8</v>
      </c>
      <c r="R3" s="206" t="s">
        <v>54</v>
      </c>
      <c r="S3" s="209" t="s">
        <v>28</v>
      </c>
      <c r="T3" s="206" t="s">
        <v>55</v>
      </c>
      <c r="U3" s="209" t="s">
        <v>29</v>
      </c>
      <c r="V3" s="206" t="s">
        <v>56</v>
      </c>
      <c r="W3" s="209" t="s">
        <v>33</v>
      </c>
      <c r="X3" s="206" t="s">
        <v>57</v>
      </c>
      <c r="Y3" s="209" t="s">
        <v>34</v>
      </c>
      <c r="Z3" s="206" t="s">
        <v>58</v>
      </c>
      <c r="AA3" s="209" t="s">
        <v>46</v>
      </c>
      <c r="AB3" s="206" t="s">
        <v>121</v>
      </c>
      <c r="AC3" s="209" t="s">
        <v>49</v>
      </c>
      <c r="AD3" s="206" t="s">
        <v>59</v>
      </c>
      <c r="AE3" s="206" t="s">
        <v>149</v>
      </c>
      <c r="AF3" s="209" t="s">
        <v>63</v>
      </c>
      <c r="AG3" s="206" t="s">
        <v>64</v>
      </c>
      <c r="AH3" s="206" t="s">
        <v>158</v>
      </c>
      <c r="AI3" s="209" t="s">
        <v>92</v>
      </c>
      <c r="AJ3" s="206" t="s">
        <v>90</v>
      </c>
      <c r="AK3" s="209" t="s">
        <v>93</v>
      </c>
      <c r="AL3" s="206" t="s">
        <v>91</v>
      </c>
      <c r="AM3" s="209" t="s">
        <v>129</v>
      </c>
      <c r="AN3" s="206" t="s">
        <v>130</v>
      </c>
      <c r="AO3" s="209" t="s">
        <v>131</v>
      </c>
      <c r="AP3" s="206" t="s">
        <v>132</v>
      </c>
      <c r="AQ3" s="209" t="s">
        <v>133</v>
      </c>
      <c r="AR3" s="206" t="s">
        <v>134</v>
      </c>
      <c r="AS3" s="209" t="s">
        <v>135</v>
      </c>
      <c r="AT3" s="206" t="s">
        <v>136</v>
      </c>
      <c r="AU3" s="209" t="s">
        <v>137</v>
      </c>
      <c r="AV3" s="206" t="s">
        <v>138</v>
      </c>
      <c r="AW3" s="209" t="s">
        <v>139</v>
      </c>
      <c r="AX3" s="206" t="s">
        <v>140</v>
      </c>
      <c r="AY3" s="209" t="s">
        <v>141</v>
      </c>
      <c r="AZ3" s="209" t="s">
        <v>143</v>
      </c>
      <c r="BA3" s="209" t="s">
        <v>144</v>
      </c>
      <c r="BB3" s="206" t="s">
        <v>90</v>
      </c>
      <c r="BC3" s="209" t="s">
        <v>93</v>
      </c>
      <c r="BD3" s="206" t="s">
        <v>91</v>
      </c>
      <c r="BE3" s="206" t="s">
        <v>162</v>
      </c>
      <c r="BF3" s="209" t="s">
        <v>129</v>
      </c>
      <c r="BG3" s="206" t="s">
        <v>130</v>
      </c>
      <c r="BH3" s="209" t="s">
        <v>131</v>
      </c>
      <c r="BI3" s="206" t="s">
        <v>132</v>
      </c>
      <c r="BJ3" s="209" t="s">
        <v>133</v>
      </c>
      <c r="BK3" s="206" t="s">
        <v>134</v>
      </c>
      <c r="BL3" s="209" t="s">
        <v>135</v>
      </c>
      <c r="BM3" s="206" t="s">
        <v>136</v>
      </c>
      <c r="BN3" s="209" t="s">
        <v>137</v>
      </c>
      <c r="BO3" s="206" t="s">
        <v>138</v>
      </c>
      <c r="BP3" s="209" t="s">
        <v>139</v>
      </c>
      <c r="BQ3" s="206" t="s">
        <v>140</v>
      </c>
      <c r="BR3" s="209" t="s">
        <v>141</v>
      </c>
      <c r="BS3" s="206" t="s">
        <v>143</v>
      </c>
      <c r="BT3" s="209" t="s">
        <v>144</v>
      </c>
      <c r="BU3" s="206" t="s">
        <v>143</v>
      </c>
      <c r="BV3" s="209" t="s">
        <v>144</v>
      </c>
      <c r="BW3" s="206" t="s">
        <v>143</v>
      </c>
      <c r="BX3" s="209" t="s">
        <v>144</v>
      </c>
      <c r="BY3" s="206" t="s">
        <v>31</v>
      </c>
      <c r="BZ3" s="206" t="s">
        <v>7</v>
      </c>
    </row>
    <row r="4" spans="1:82" ht="13.5" customHeight="1" thickBot="1" x14ac:dyDescent="0.25">
      <c r="A4" s="410" t="s">
        <v>36</v>
      </c>
      <c r="B4" s="411"/>
      <c r="C4" s="248"/>
      <c r="D4" s="249"/>
      <c r="E4" s="249"/>
      <c r="F4" s="125"/>
      <c r="G4" s="125"/>
      <c r="H4" s="125"/>
      <c r="I4" s="125"/>
      <c r="J4" s="125"/>
      <c r="K4" s="125"/>
      <c r="L4" s="125"/>
      <c r="M4" s="250"/>
      <c r="N4" s="125"/>
      <c r="O4" s="251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415" t="s">
        <v>68</v>
      </c>
      <c r="BZ4" s="417" t="s">
        <v>69</v>
      </c>
    </row>
    <row r="5" spans="1:82" s="14" customFormat="1" ht="13.5" customHeight="1" thickBot="1" x14ac:dyDescent="0.2">
      <c r="A5" s="31"/>
      <c r="B5" s="32" t="s">
        <v>48</v>
      </c>
      <c r="C5" s="169">
        <v>30538028.109999999</v>
      </c>
      <c r="D5" s="34">
        <v>36068</v>
      </c>
      <c r="E5" s="34">
        <v>41547</v>
      </c>
      <c r="F5" s="35">
        <v>9543133.75</v>
      </c>
      <c r="G5" s="35">
        <v>2544835.6800000002</v>
      </c>
      <c r="H5" s="35">
        <f>F5-G5</f>
        <v>6998298.0700000003</v>
      </c>
      <c r="I5" s="35">
        <v>2544835.6800000002</v>
      </c>
      <c r="J5" s="35">
        <f>H5-I5</f>
        <v>4453462.3900000006</v>
      </c>
      <c r="K5" s="35">
        <v>2544835.6800000002</v>
      </c>
      <c r="L5" s="35">
        <v>0</v>
      </c>
      <c r="M5" s="36">
        <v>170044.50547819445</v>
      </c>
      <c r="N5" s="37" t="s">
        <v>19</v>
      </c>
      <c r="O5" s="38">
        <v>636208.92000000004</v>
      </c>
      <c r="P5" s="39" t="s">
        <v>11</v>
      </c>
      <c r="Q5" s="22" t="s">
        <v>12</v>
      </c>
      <c r="R5" s="80">
        <f>J5-K5</f>
        <v>1908626.7100000004</v>
      </c>
      <c r="S5" s="99">
        <v>1908626.71</v>
      </c>
      <c r="T5" s="83">
        <v>0</v>
      </c>
      <c r="U5" s="40"/>
      <c r="V5" s="83"/>
      <c r="W5" s="40"/>
      <c r="X5" s="83"/>
      <c r="Y5" s="40"/>
      <c r="Z5" s="83"/>
      <c r="AA5" s="40"/>
      <c r="AB5" s="118"/>
      <c r="AC5" s="40"/>
      <c r="AD5" s="118"/>
      <c r="AE5" s="118"/>
      <c r="AF5" s="40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415"/>
      <c r="BZ5" s="418"/>
    </row>
    <row r="6" spans="1:82" s="14" customFormat="1" ht="12.75" customHeight="1" thickTop="1" thickBot="1" x14ac:dyDescent="0.2">
      <c r="A6" s="31"/>
      <c r="B6" s="32" t="s">
        <v>50</v>
      </c>
      <c r="C6" s="169">
        <v>11530968.73</v>
      </c>
      <c r="D6" s="34">
        <v>38887</v>
      </c>
      <c r="E6" s="34">
        <v>42540</v>
      </c>
      <c r="F6" s="35">
        <v>10089597.640000001</v>
      </c>
      <c r="G6" s="35">
        <v>1441371.09</v>
      </c>
      <c r="H6" s="35">
        <f>F6-G6</f>
        <v>8648226.5500000007</v>
      </c>
      <c r="I6" s="35">
        <v>1441371.09</v>
      </c>
      <c r="J6" s="35">
        <f>H6-I6</f>
        <v>7206855.4600000009</v>
      </c>
      <c r="K6" s="35">
        <v>1441371.09</v>
      </c>
      <c r="L6" s="35">
        <v>0</v>
      </c>
      <c r="M6" s="36">
        <v>1609261.9947296001</v>
      </c>
      <c r="N6" s="42">
        <v>39252</v>
      </c>
      <c r="O6" s="38"/>
      <c r="P6" s="39"/>
      <c r="Q6" s="22" t="s">
        <v>13</v>
      </c>
      <c r="R6" s="80">
        <f>J6-K6</f>
        <v>5765484.370000001</v>
      </c>
      <c r="S6" s="35">
        <v>1441371.09</v>
      </c>
      <c r="T6" s="80">
        <f>R6-S6</f>
        <v>4324113.2800000012</v>
      </c>
      <c r="U6" s="35">
        <v>1441371.09</v>
      </c>
      <c r="V6" s="80">
        <f>T6-U6</f>
        <v>2882742.1900000013</v>
      </c>
      <c r="W6" s="71">
        <v>0</v>
      </c>
      <c r="X6" s="80">
        <f>V6-W6</f>
        <v>2882742.1900000013</v>
      </c>
      <c r="Y6" s="108">
        <v>2882742.1900000013</v>
      </c>
      <c r="Z6" s="359"/>
      <c r="AA6" s="359"/>
      <c r="AB6" s="394" t="s">
        <v>166</v>
      </c>
      <c r="AC6" s="394"/>
      <c r="AD6" s="394"/>
      <c r="AE6" s="394"/>
      <c r="AF6" s="359"/>
      <c r="AG6" s="359"/>
      <c r="AH6" s="359"/>
      <c r="AI6" s="359"/>
      <c r="AJ6" s="359"/>
      <c r="AK6" s="359"/>
      <c r="AL6" s="359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9"/>
      <c r="BA6" s="309"/>
      <c r="BB6" s="315"/>
      <c r="BC6" s="315"/>
      <c r="BD6" s="323"/>
      <c r="BE6" s="33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33"/>
      <c r="BV6" s="333"/>
      <c r="BW6" s="333"/>
      <c r="BX6" s="333"/>
      <c r="BY6" s="415"/>
      <c r="BZ6" s="419" t="s">
        <v>70</v>
      </c>
    </row>
    <row r="7" spans="1:82" s="14" customFormat="1" ht="14.25" customHeight="1" thickTop="1" thickBot="1" x14ac:dyDescent="0.2">
      <c r="A7" s="31"/>
      <c r="B7" s="102"/>
      <c r="C7" s="68"/>
      <c r="D7" s="70"/>
      <c r="E7" s="70"/>
      <c r="F7" s="40"/>
      <c r="G7" s="40"/>
      <c r="H7" s="40"/>
      <c r="I7" s="40"/>
      <c r="J7" s="40"/>
      <c r="K7" s="40"/>
      <c r="L7" s="40"/>
      <c r="M7" s="103"/>
      <c r="N7" s="104"/>
      <c r="O7" s="105"/>
      <c r="P7" s="110"/>
      <c r="Q7" s="107"/>
      <c r="R7" s="83"/>
      <c r="S7" s="40"/>
      <c r="T7" s="83"/>
      <c r="U7" s="40"/>
      <c r="V7" s="83"/>
      <c r="W7" s="111"/>
      <c r="X7" s="83"/>
      <c r="Y7" s="113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10"/>
      <c r="BA7" s="310"/>
      <c r="BB7" s="316"/>
      <c r="BC7" s="316"/>
      <c r="BD7" s="324"/>
      <c r="BE7" s="33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34"/>
      <c r="BV7" s="334"/>
      <c r="BW7" s="334"/>
      <c r="BX7" s="334"/>
      <c r="BY7" s="416"/>
      <c r="BZ7" s="420"/>
    </row>
    <row r="8" spans="1:82" s="14" customFormat="1" ht="13.5" customHeight="1" thickTop="1" thickBot="1" x14ac:dyDescent="0.2">
      <c r="A8" s="409" t="s">
        <v>37</v>
      </c>
      <c r="B8" s="397"/>
      <c r="C8" s="115"/>
      <c r="D8" s="252"/>
      <c r="E8" s="252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5"/>
      <c r="V8" s="126"/>
      <c r="W8" s="125"/>
      <c r="X8" s="126"/>
      <c r="Y8" s="125"/>
      <c r="Z8" s="126"/>
      <c r="AA8" s="125"/>
      <c r="AB8" s="126"/>
      <c r="AC8" s="125"/>
      <c r="AD8" s="126"/>
      <c r="AE8" s="126"/>
      <c r="AF8" s="125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75"/>
      <c r="BZ8" s="76"/>
    </row>
    <row r="9" spans="1:82" s="14" customFormat="1" ht="12.75" customHeight="1" thickBot="1" x14ac:dyDescent="0.2">
      <c r="B9" s="32" t="s">
        <v>51</v>
      </c>
      <c r="C9" s="33">
        <v>6000000</v>
      </c>
      <c r="D9" s="34">
        <v>38490</v>
      </c>
      <c r="E9" s="34">
        <v>42142</v>
      </c>
      <c r="F9" s="35">
        <v>4500000</v>
      </c>
      <c r="G9" s="35">
        <v>750000</v>
      </c>
      <c r="H9" s="35">
        <f>F9-G9</f>
        <v>3750000</v>
      </c>
      <c r="I9" s="35">
        <v>750000</v>
      </c>
      <c r="J9" s="35">
        <f>H9-I9</f>
        <v>3000000</v>
      </c>
      <c r="K9" s="35">
        <v>750000</v>
      </c>
      <c r="L9" s="35">
        <v>0</v>
      </c>
      <c r="M9" s="36">
        <v>824700</v>
      </c>
      <c r="N9" s="42">
        <v>39220</v>
      </c>
      <c r="O9" s="38"/>
      <c r="P9" s="39"/>
      <c r="Q9" s="22" t="s">
        <v>17</v>
      </c>
      <c r="R9" s="80">
        <f>J9-K9</f>
        <v>2250000</v>
      </c>
      <c r="S9" s="35">
        <v>750000</v>
      </c>
      <c r="T9" s="80">
        <f>R9-S9</f>
        <v>1500000</v>
      </c>
      <c r="U9" s="35">
        <v>750000</v>
      </c>
      <c r="V9" s="80" t="e">
        <f>T9-U9-#REF!</f>
        <v>#REF!</v>
      </c>
      <c r="W9" s="99">
        <v>120019.68</v>
      </c>
      <c r="X9" s="83">
        <v>0</v>
      </c>
      <c r="Y9" s="40"/>
      <c r="Z9" s="83"/>
      <c r="AA9" s="40"/>
      <c r="AB9" s="118"/>
      <c r="AC9" s="40"/>
      <c r="AD9" s="118"/>
      <c r="AE9" s="118"/>
      <c r="AF9" s="40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415" t="s">
        <v>71</v>
      </c>
      <c r="BZ9" s="190" t="s">
        <v>72</v>
      </c>
    </row>
    <row r="10" spans="1:82" s="14" customFormat="1" ht="14.25" customHeight="1" thickTop="1" thickBot="1" x14ac:dyDescent="0.2">
      <c r="B10" s="43" t="s">
        <v>52</v>
      </c>
      <c r="C10" s="33">
        <v>3320314.81</v>
      </c>
      <c r="D10" s="44">
        <v>39597</v>
      </c>
      <c r="E10" s="44">
        <v>41788</v>
      </c>
      <c r="F10" s="45">
        <v>3320314.81</v>
      </c>
      <c r="G10" s="45">
        <v>415039.36</v>
      </c>
      <c r="H10" s="35">
        <f>F10-G10</f>
        <v>2905275.45</v>
      </c>
      <c r="I10" s="45">
        <v>830078.72</v>
      </c>
      <c r="J10" s="35" t="e">
        <f>H10-I10-#REF!</f>
        <v>#REF!</v>
      </c>
      <c r="K10" s="46">
        <v>830078.72</v>
      </c>
      <c r="L10" s="46">
        <v>0</v>
      </c>
      <c r="M10" s="47">
        <v>60462.932690100002</v>
      </c>
      <c r="N10" s="48">
        <v>39962</v>
      </c>
      <c r="O10" s="49">
        <v>222635.413172525</v>
      </c>
      <c r="P10" s="50" t="s">
        <v>20</v>
      </c>
      <c r="Q10" s="51" t="s">
        <v>18</v>
      </c>
      <c r="R10" s="80">
        <v>513632.93</v>
      </c>
      <c r="S10" s="100">
        <v>513632.93</v>
      </c>
      <c r="T10" s="84">
        <v>0</v>
      </c>
      <c r="V10" s="84"/>
      <c r="W10" s="52"/>
      <c r="X10" s="83"/>
      <c r="Y10" s="53"/>
      <c r="Z10" s="83"/>
      <c r="AA10" s="53"/>
      <c r="AB10" s="118"/>
      <c r="AC10" s="53"/>
      <c r="AD10" s="118"/>
      <c r="AE10" s="118"/>
      <c r="AF10" s="53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415"/>
      <c r="BZ10" s="190" t="s">
        <v>72</v>
      </c>
    </row>
    <row r="11" spans="1:82" s="14" customFormat="1" ht="11.25" customHeight="1" thickTop="1" thickBot="1" x14ac:dyDescent="0.2">
      <c r="B11" s="54" t="s">
        <v>53</v>
      </c>
      <c r="C11" s="33">
        <v>8283298.1799999997</v>
      </c>
      <c r="D11" s="44">
        <v>40367</v>
      </c>
      <c r="E11" s="44">
        <v>43289</v>
      </c>
      <c r="F11" s="45">
        <v>8283298.1799999997</v>
      </c>
      <c r="G11" s="45">
        <v>0</v>
      </c>
      <c r="H11" s="35">
        <f>F11-G11</f>
        <v>8283298.1799999997</v>
      </c>
      <c r="I11" s="45">
        <v>0</v>
      </c>
      <c r="J11" s="35">
        <f>H11-I11</f>
        <v>8283298.1799999997</v>
      </c>
      <c r="K11" s="46">
        <v>258853.07</v>
      </c>
      <c r="L11" s="46"/>
      <c r="M11" s="47"/>
      <c r="N11" s="48"/>
      <c r="O11" s="49"/>
      <c r="P11" s="50"/>
      <c r="Q11" s="51"/>
      <c r="R11" s="80">
        <f>J11-K11</f>
        <v>8024445.1099999994</v>
      </c>
      <c r="S11" s="46">
        <v>1035412.2725</v>
      </c>
      <c r="T11" s="80">
        <f>R11-S11</f>
        <v>6989032.8374999994</v>
      </c>
      <c r="U11" s="35">
        <v>1035412.2725</v>
      </c>
      <c r="V11" s="80">
        <f>T11-U11</f>
        <v>5953620.5649999995</v>
      </c>
      <c r="W11" s="35">
        <v>1035412.27</v>
      </c>
      <c r="X11" s="80">
        <f>4389453.95</f>
        <v>4389453.95</v>
      </c>
      <c r="Y11" s="129">
        <v>517706.14</v>
      </c>
      <c r="Z11" s="424" t="s">
        <v>76</v>
      </c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9"/>
      <c r="BA11" s="309"/>
      <c r="BB11" s="315"/>
      <c r="BC11" s="315"/>
      <c r="BD11" s="323"/>
      <c r="BE11" s="33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33"/>
      <c r="BV11" s="333"/>
      <c r="BW11" s="333"/>
      <c r="BX11" s="333"/>
      <c r="BY11" s="416"/>
      <c r="BZ11" s="421" t="s">
        <v>73</v>
      </c>
    </row>
    <row r="12" spans="1:82" s="114" customFormat="1" ht="12.75" customHeight="1" thickTop="1" thickBot="1" x14ac:dyDescent="0.2">
      <c r="B12" s="130"/>
      <c r="C12" s="131"/>
      <c r="D12" s="132"/>
      <c r="E12" s="132"/>
      <c r="F12" s="133"/>
      <c r="G12" s="133"/>
      <c r="H12" s="124"/>
      <c r="I12" s="133"/>
      <c r="J12" s="124"/>
      <c r="K12" s="134"/>
      <c r="L12" s="134"/>
      <c r="M12" s="135"/>
      <c r="N12" s="136"/>
      <c r="O12" s="137"/>
      <c r="P12" s="138"/>
      <c r="Q12" s="139"/>
      <c r="R12" s="124"/>
      <c r="S12" s="134"/>
      <c r="T12" s="124"/>
      <c r="U12" s="124"/>
      <c r="V12" s="124"/>
      <c r="W12" s="124"/>
      <c r="X12" s="124"/>
      <c r="Y12" s="108">
        <v>3871747.81</v>
      </c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10"/>
      <c r="BA12" s="310"/>
      <c r="BB12" s="316"/>
      <c r="BC12" s="316"/>
      <c r="BD12" s="324"/>
      <c r="BE12" s="33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34"/>
      <c r="BV12" s="334"/>
      <c r="BW12" s="334"/>
      <c r="BX12" s="334"/>
      <c r="BY12" s="140"/>
      <c r="BZ12" s="422"/>
      <c r="CD12" s="114" t="s">
        <v>60</v>
      </c>
    </row>
    <row r="13" spans="1:82" s="14" customFormat="1" ht="14.25" customHeight="1" thickTop="1" thickBot="1" x14ac:dyDescent="0.2">
      <c r="B13" s="159" t="s">
        <v>62</v>
      </c>
      <c r="C13" s="33" t="s">
        <v>61</v>
      </c>
      <c r="D13" s="44">
        <v>42541</v>
      </c>
      <c r="E13" s="44">
        <v>44561</v>
      </c>
      <c r="F13" s="45">
        <v>8283298.1799999997</v>
      </c>
      <c r="G13" s="45">
        <v>0</v>
      </c>
      <c r="H13" s="35">
        <f>F13-G13</f>
        <v>8283298.1799999997</v>
      </c>
      <c r="I13" s="45">
        <v>0</v>
      </c>
      <c r="J13" s="35">
        <f>H13-I13</f>
        <v>8283298.1799999997</v>
      </c>
      <c r="K13" s="46">
        <v>258853.07</v>
      </c>
      <c r="L13" s="46"/>
      <c r="M13" s="47"/>
      <c r="N13" s="48"/>
      <c r="O13" s="49"/>
      <c r="P13" s="50"/>
      <c r="Q13" s="51"/>
      <c r="R13" s="80">
        <f>J13-K13</f>
        <v>8024445.1099999994</v>
      </c>
      <c r="S13" s="46">
        <v>1035412.2725</v>
      </c>
      <c r="T13" s="80">
        <f>R13-S13</f>
        <v>6989032.8374999994</v>
      </c>
      <c r="U13" s="35">
        <v>1035412.2725</v>
      </c>
      <c r="V13" s="80">
        <f>T13-U13</f>
        <v>5953620.5649999995</v>
      </c>
      <c r="W13" s="35">
        <v>1035412.27</v>
      </c>
      <c r="X13" s="87" t="s">
        <v>61</v>
      </c>
      <c r="Y13" s="189">
        <v>589606.43999999994</v>
      </c>
      <c r="Z13" s="80">
        <f>X13-Y13-Y15</f>
        <v>5836467.9500000002</v>
      </c>
      <c r="AA13" s="188">
        <v>985041.2</v>
      </c>
      <c r="AB13" s="160">
        <f>Z13-AA13-AA15</f>
        <v>1589761.17</v>
      </c>
      <c r="AC13" s="188">
        <v>402526.16</v>
      </c>
      <c r="AD13" s="160">
        <f>AB13-AC13</f>
        <v>1187235.01</v>
      </c>
      <c r="AE13" s="244"/>
      <c r="AF13" s="303">
        <v>1187235.01</v>
      </c>
      <c r="AG13" s="321" t="s">
        <v>146</v>
      </c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8"/>
      <c r="BY13" s="191" t="s">
        <v>80</v>
      </c>
      <c r="BZ13" s="194" t="s">
        <v>81</v>
      </c>
    </row>
    <row r="14" spans="1:82" s="170" customFormat="1" ht="12.75" customHeight="1" thickTop="1" thickBot="1" x14ac:dyDescent="0.2">
      <c r="A14" s="246" t="s">
        <v>103</v>
      </c>
      <c r="B14" s="290" t="s">
        <v>126</v>
      </c>
      <c r="C14" s="68">
        <v>396215.73</v>
      </c>
      <c r="D14" s="44">
        <v>43402</v>
      </c>
      <c r="E14" s="44">
        <v>44498</v>
      </c>
      <c r="F14" s="53"/>
      <c r="G14" s="40"/>
      <c r="H14" s="53"/>
      <c r="I14" s="40"/>
      <c r="J14" s="40"/>
      <c r="K14" s="40"/>
      <c r="L14" s="103"/>
      <c r="M14" s="104"/>
      <c r="N14" s="105"/>
      <c r="O14" s="106"/>
      <c r="P14" s="107"/>
      <c r="Q14" s="83"/>
      <c r="R14" s="40"/>
      <c r="S14" s="83"/>
      <c r="T14" s="40"/>
      <c r="U14" s="83"/>
      <c r="V14" s="40"/>
      <c r="W14" s="112"/>
      <c r="Y14" s="183"/>
      <c r="Z14" s="182"/>
      <c r="AA14" s="183"/>
      <c r="AB14" s="112">
        <v>396215.73</v>
      </c>
      <c r="AC14" s="188">
        <v>0</v>
      </c>
      <c r="AD14" s="320">
        <v>396215.73</v>
      </c>
      <c r="AE14" s="117"/>
      <c r="AF14" s="299">
        <v>396215.73</v>
      </c>
      <c r="AG14" s="321" t="s">
        <v>146</v>
      </c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191" t="s">
        <v>80</v>
      </c>
      <c r="BZ14" s="288" t="s">
        <v>127</v>
      </c>
      <c r="CA14" s="196"/>
    </row>
    <row r="15" spans="1:82" s="14" customFormat="1" ht="12.75" customHeight="1" thickTop="1" thickBot="1" x14ac:dyDescent="0.2">
      <c r="B15" s="187"/>
      <c r="C15" s="68"/>
      <c r="D15" s="70"/>
      <c r="E15" s="70"/>
      <c r="F15" s="53"/>
      <c r="G15" s="53"/>
      <c r="H15" s="40"/>
      <c r="I15" s="53"/>
      <c r="J15" s="40"/>
      <c r="K15" s="40"/>
      <c r="L15" s="40"/>
      <c r="M15" s="103"/>
      <c r="N15" s="104"/>
      <c r="O15" s="105"/>
      <c r="P15" s="106"/>
      <c r="Q15" s="107"/>
      <c r="R15" s="83"/>
      <c r="S15" s="40"/>
      <c r="T15" s="83"/>
      <c r="U15" s="40"/>
      <c r="V15" s="83"/>
      <c r="W15" s="40"/>
      <c r="X15" s="112"/>
      <c r="Y15" s="198">
        <v>1828415.61</v>
      </c>
      <c r="Z15" s="83"/>
      <c r="AA15" s="297">
        <v>3261665.58</v>
      </c>
      <c r="AB15" s="260"/>
      <c r="AC15" s="179"/>
      <c r="AD15" s="260"/>
      <c r="AE15" s="260"/>
      <c r="AF15" s="179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186"/>
      <c r="BZ15" s="185"/>
    </row>
    <row r="16" spans="1:82" s="14" customFormat="1" ht="12" customHeight="1" thickBot="1" x14ac:dyDescent="0.2">
      <c r="B16" s="396" t="s">
        <v>79</v>
      </c>
      <c r="C16" s="397"/>
      <c r="D16" s="116"/>
      <c r="E16" s="116"/>
      <c r="F16" s="253"/>
      <c r="G16" s="253"/>
      <c r="H16" s="118"/>
      <c r="I16" s="253"/>
      <c r="J16" s="118"/>
      <c r="K16" s="118"/>
      <c r="L16" s="118"/>
      <c r="M16" s="254"/>
      <c r="N16" s="255"/>
      <c r="O16" s="117"/>
      <c r="P16" s="256"/>
      <c r="Q16" s="257"/>
      <c r="R16" s="118"/>
      <c r="S16" s="118"/>
      <c r="T16" s="118"/>
      <c r="U16" s="118"/>
      <c r="V16" s="118"/>
      <c r="W16" s="118"/>
      <c r="X16" s="117"/>
      <c r="Y16" s="258"/>
      <c r="Z16" s="118"/>
      <c r="AA16" s="259"/>
      <c r="AB16" s="118"/>
      <c r="AC16" s="259"/>
      <c r="AD16" s="118"/>
      <c r="AE16" s="118"/>
      <c r="AF16" s="259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86"/>
      <c r="BZ16" s="185"/>
    </row>
    <row r="17" spans="1:80" s="170" customFormat="1" ht="12.75" customHeight="1" thickTop="1" thickBot="1" x14ac:dyDescent="0.2">
      <c r="B17" s="181" t="s">
        <v>78</v>
      </c>
      <c r="C17" s="68">
        <v>4870250.01</v>
      </c>
      <c r="D17" s="44">
        <v>42639</v>
      </c>
      <c r="E17" s="44">
        <v>45742</v>
      </c>
      <c r="F17" s="53"/>
      <c r="G17" s="53"/>
      <c r="H17" s="40"/>
      <c r="I17" s="53"/>
      <c r="J17" s="40"/>
      <c r="K17" s="40"/>
      <c r="L17" s="40"/>
      <c r="M17" s="103"/>
      <c r="N17" s="104"/>
      <c r="O17" s="105"/>
      <c r="P17" s="106"/>
      <c r="Q17" s="107"/>
      <c r="R17" s="83"/>
      <c r="S17" s="40"/>
      <c r="T17" s="83"/>
      <c r="U17" s="40"/>
      <c r="V17" s="83"/>
      <c r="W17" s="40"/>
      <c r="X17" s="112">
        <v>4870250.01</v>
      </c>
      <c r="Y17" s="183">
        <v>0</v>
      </c>
      <c r="Z17" s="182">
        <v>4870250.01</v>
      </c>
      <c r="AA17" s="183">
        <v>0</v>
      </c>
      <c r="AB17" s="182">
        <v>4870250.01</v>
      </c>
      <c r="AC17" s="188">
        <v>521812.5</v>
      </c>
      <c r="AD17" s="180">
        <f>AB17-AC17-AC18</f>
        <v>20132.969999999739</v>
      </c>
      <c r="AE17" s="260"/>
      <c r="AF17" s="299">
        <v>20132.969999999739</v>
      </c>
      <c r="AG17" s="394" t="s">
        <v>165</v>
      </c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91" t="s">
        <v>80</v>
      </c>
      <c r="BZ17" s="194" t="s">
        <v>82</v>
      </c>
    </row>
    <row r="18" spans="1:80" s="170" customFormat="1" ht="12.75" customHeight="1" thickTop="1" thickBot="1" x14ac:dyDescent="0.2">
      <c r="B18" s="181"/>
      <c r="C18" s="68"/>
      <c r="D18" s="34"/>
      <c r="E18" s="34"/>
      <c r="F18" s="53"/>
      <c r="G18" s="53"/>
      <c r="H18" s="40"/>
      <c r="I18" s="53"/>
      <c r="J18" s="40"/>
      <c r="K18" s="40"/>
      <c r="L18" s="40"/>
      <c r="M18" s="103"/>
      <c r="N18" s="104"/>
      <c r="O18" s="105"/>
      <c r="P18" s="106"/>
      <c r="Q18" s="107"/>
      <c r="R18" s="83"/>
      <c r="S18" s="40"/>
      <c r="T18" s="83"/>
      <c r="U18" s="40"/>
      <c r="V18" s="83"/>
      <c r="W18" s="40"/>
      <c r="X18" s="112"/>
      <c r="Y18" s="183"/>
      <c r="Z18" s="182"/>
      <c r="AA18" s="183"/>
      <c r="AB18" s="118"/>
      <c r="AC18" s="298">
        <v>4328304.54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338"/>
      <c r="BZ18" s="339"/>
    </row>
    <row r="19" spans="1:80" s="14" customFormat="1" ht="13.5" thickTop="1" thickBot="1" x14ac:dyDescent="0.2">
      <c r="A19" s="31"/>
      <c r="B19" s="32" t="s">
        <v>148</v>
      </c>
      <c r="C19" s="169">
        <v>4456273.75</v>
      </c>
      <c r="D19" s="34">
        <v>44223</v>
      </c>
      <c r="E19" s="34">
        <v>45963</v>
      </c>
      <c r="F19" s="35">
        <v>9543133.75</v>
      </c>
      <c r="G19" s="35">
        <v>2544835.6800000002</v>
      </c>
      <c r="H19" s="35">
        <f>F19-G19</f>
        <v>6998298.0700000003</v>
      </c>
      <c r="I19" s="35">
        <v>2544835.6800000002</v>
      </c>
      <c r="J19" s="35">
        <f>H19-I19</f>
        <v>4453462.3900000006</v>
      </c>
      <c r="K19" s="35">
        <v>2544835.6800000002</v>
      </c>
      <c r="L19" s="35">
        <v>0</v>
      </c>
      <c r="M19" s="36">
        <v>170044.50547819445</v>
      </c>
      <c r="N19" s="37" t="s">
        <v>19</v>
      </c>
      <c r="O19" s="38">
        <v>636208.92000000004</v>
      </c>
      <c r="P19" s="39" t="s">
        <v>11</v>
      </c>
      <c r="Q19" s="22" t="s">
        <v>12</v>
      </c>
      <c r="R19" s="80">
        <f>J19-K19</f>
        <v>1908626.7100000004</v>
      </c>
      <c r="S19" s="99">
        <v>1908626.71</v>
      </c>
      <c r="T19" s="83">
        <v>0</v>
      </c>
      <c r="U19" s="40"/>
      <c r="V19" s="83"/>
      <c r="W19" s="40"/>
      <c r="X19" s="83"/>
      <c r="Y19" s="40"/>
      <c r="Z19" s="83"/>
      <c r="AA19" s="40"/>
      <c r="AB19" s="118"/>
      <c r="AC19" s="40"/>
      <c r="AD19" s="118"/>
      <c r="AE19" s="118"/>
      <c r="AF19" s="40"/>
      <c r="AG19" s="118"/>
      <c r="AH19" s="326">
        <v>4456273.75</v>
      </c>
      <c r="AI19" s="118">
        <v>0</v>
      </c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326">
        <f>AH19-AI19</f>
        <v>4456273.75</v>
      </c>
      <c r="BC19" s="118">
        <v>1114068.45</v>
      </c>
      <c r="BD19" s="394" t="s">
        <v>159</v>
      </c>
      <c r="BE19" s="394"/>
      <c r="BF19" s="394"/>
      <c r="BG19" s="394"/>
      <c r="BH19" s="394"/>
      <c r="BI19" s="336"/>
      <c r="BJ19" s="336"/>
      <c r="BK19" s="244"/>
      <c r="BL19" s="118"/>
      <c r="BM19" s="33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327" t="s">
        <v>150</v>
      </c>
      <c r="BZ19" s="339"/>
    </row>
    <row r="20" spans="1:80" s="170" customFormat="1" ht="12" customHeight="1" thickTop="1" x14ac:dyDescent="0.15">
      <c r="B20" s="181"/>
      <c r="C20" s="68"/>
      <c r="D20" s="70"/>
      <c r="E20" s="70"/>
      <c r="F20" s="53"/>
      <c r="G20" s="53"/>
      <c r="H20" s="40"/>
      <c r="I20" s="53"/>
      <c r="J20" s="40"/>
      <c r="K20" s="40"/>
      <c r="L20" s="40"/>
      <c r="M20" s="103"/>
      <c r="N20" s="104"/>
      <c r="O20" s="105"/>
      <c r="P20" s="106"/>
      <c r="Q20" s="107"/>
      <c r="R20" s="83"/>
      <c r="S20" s="40"/>
      <c r="T20" s="83"/>
      <c r="U20" s="40"/>
      <c r="V20" s="83"/>
      <c r="W20" s="40"/>
      <c r="X20" s="112"/>
      <c r="Y20" s="183"/>
      <c r="Z20" s="182"/>
      <c r="AA20" s="183"/>
      <c r="AB20" s="261"/>
      <c r="AD20" s="260"/>
      <c r="AE20" s="260"/>
      <c r="AF20" s="184"/>
      <c r="AG20" s="260"/>
      <c r="AH20" s="260"/>
      <c r="AI20" s="184"/>
      <c r="AJ20" s="260"/>
      <c r="AK20" s="184"/>
      <c r="AL20" s="260"/>
      <c r="AM20" s="184"/>
      <c r="AN20" s="260"/>
      <c r="AO20" s="184"/>
      <c r="AP20" s="260"/>
      <c r="AQ20" s="184"/>
      <c r="AR20" s="260"/>
      <c r="AS20" s="184"/>
      <c r="AT20" s="260"/>
      <c r="AU20" s="184"/>
      <c r="AV20" s="260"/>
      <c r="AW20" s="184"/>
      <c r="AX20" s="260"/>
      <c r="AY20" s="184"/>
      <c r="AZ20" s="184"/>
      <c r="BA20" s="184"/>
      <c r="BB20" s="184"/>
      <c r="BC20" s="299">
        <v>3342205.3</v>
      </c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95"/>
      <c r="BZ20" s="196"/>
    </row>
    <row r="21" spans="1:80" s="170" customFormat="1" ht="12.75" thickBot="1" x14ac:dyDescent="0.2">
      <c r="B21" s="362" t="s">
        <v>119</v>
      </c>
      <c r="C21" s="116"/>
      <c r="D21" s="116"/>
      <c r="E21" s="116"/>
      <c r="F21" s="253"/>
      <c r="G21" s="253"/>
      <c r="H21" s="118"/>
      <c r="I21" s="253"/>
      <c r="J21" s="118"/>
      <c r="K21" s="118"/>
      <c r="L21" s="118"/>
      <c r="M21" s="254"/>
      <c r="N21" s="255"/>
      <c r="O21" s="117"/>
      <c r="P21" s="256"/>
      <c r="Q21" s="257"/>
      <c r="R21" s="118"/>
      <c r="S21" s="118"/>
      <c r="T21" s="118"/>
      <c r="U21" s="118"/>
      <c r="V21" s="118"/>
      <c r="W21" s="118"/>
      <c r="X21" s="117"/>
      <c r="Y21" s="258"/>
      <c r="Z21" s="118"/>
      <c r="AA21" s="259"/>
      <c r="AB21" s="118"/>
      <c r="AC21" s="259"/>
      <c r="AD21" s="118"/>
      <c r="AE21" s="118"/>
      <c r="AF21" s="259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86"/>
      <c r="BZ21" s="241"/>
    </row>
    <row r="22" spans="1:80" s="170" customFormat="1" ht="12.75" customHeight="1" thickTop="1" thickBot="1" x14ac:dyDescent="0.2">
      <c r="B22" s="181" t="s">
        <v>103</v>
      </c>
      <c r="C22" s="68">
        <v>2004825.12</v>
      </c>
      <c r="D22" s="44">
        <v>43224</v>
      </c>
      <c r="E22" s="44">
        <v>46146</v>
      </c>
      <c r="F22" s="53"/>
      <c r="G22" s="53"/>
      <c r="H22" s="40"/>
      <c r="I22" s="53"/>
      <c r="J22" s="40"/>
      <c r="K22" s="40"/>
      <c r="L22" s="40"/>
      <c r="M22" s="103"/>
      <c r="N22" s="104"/>
      <c r="O22" s="105"/>
      <c r="P22" s="106"/>
      <c r="Q22" s="107"/>
      <c r="R22" s="83"/>
      <c r="S22" s="40"/>
      <c r="T22" s="83"/>
      <c r="U22" s="40"/>
      <c r="V22" s="83"/>
      <c r="W22" s="40"/>
      <c r="X22" s="112"/>
      <c r="Y22" s="183"/>
      <c r="Z22" s="182"/>
      <c r="AA22" s="183"/>
      <c r="AB22" s="182">
        <v>2004825.12</v>
      </c>
      <c r="AC22" s="188">
        <v>0</v>
      </c>
      <c r="AD22" s="180">
        <f>AB22-AC22</f>
        <v>2004825.12</v>
      </c>
      <c r="AE22" s="260"/>
      <c r="AF22" s="299">
        <v>2004825.12</v>
      </c>
      <c r="AG22" s="321" t="s">
        <v>146</v>
      </c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191" t="s">
        <v>80</v>
      </c>
      <c r="BZ22" s="242" t="s">
        <v>120</v>
      </c>
    </row>
    <row r="23" spans="1:80" s="170" customFormat="1" ht="13.5" customHeight="1" thickTop="1" thickBot="1" x14ac:dyDescent="0.2">
      <c r="B23" s="246"/>
      <c r="C23" s="68"/>
      <c r="D23" s="70"/>
      <c r="E23" s="70"/>
      <c r="F23" s="53"/>
      <c r="G23" s="53"/>
      <c r="H23" s="40"/>
      <c r="I23" s="53"/>
      <c r="J23" s="40"/>
      <c r="K23" s="40"/>
      <c r="L23" s="40"/>
      <c r="M23" s="103"/>
      <c r="N23" s="104"/>
      <c r="O23" s="105"/>
      <c r="P23" s="106"/>
      <c r="Q23" s="107"/>
      <c r="R23" s="83"/>
      <c r="S23" s="40"/>
      <c r="T23" s="83"/>
      <c r="U23" s="40"/>
      <c r="V23" s="83"/>
      <c r="W23" s="40"/>
      <c r="X23" s="112"/>
      <c r="Y23" s="183"/>
      <c r="Z23" s="182"/>
      <c r="AA23" s="183"/>
      <c r="AB23" s="261"/>
      <c r="AC23" s="245"/>
      <c r="AD23" s="260"/>
      <c r="AE23" s="260"/>
      <c r="AF23" s="245"/>
      <c r="AG23" s="260"/>
      <c r="AH23" s="260"/>
      <c r="AI23" s="289"/>
      <c r="AJ23" s="260"/>
      <c r="AK23" s="289"/>
      <c r="AL23" s="260"/>
      <c r="AM23" s="289"/>
      <c r="AN23" s="260"/>
      <c r="AO23" s="289"/>
      <c r="AP23" s="260"/>
      <c r="AQ23" s="289"/>
      <c r="AR23" s="260"/>
      <c r="AS23" s="289"/>
      <c r="AT23" s="260"/>
      <c r="AU23" s="289"/>
      <c r="AV23" s="260"/>
      <c r="AW23" s="289"/>
      <c r="AX23" s="260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195"/>
      <c r="BZ23" s="196"/>
    </row>
    <row r="24" spans="1:80" s="14" customFormat="1" ht="15.75" customHeight="1" thickBot="1" x14ac:dyDescent="0.2">
      <c r="A24" s="409" t="s">
        <v>171</v>
      </c>
      <c r="B24" s="397"/>
      <c r="C24" s="116"/>
      <c r="D24" s="116"/>
      <c r="E24" s="253"/>
      <c r="F24" s="253"/>
      <c r="G24" s="118"/>
      <c r="H24" s="253"/>
      <c r="I24" s="118"/>
      <c r="J24" s="118"/>
      <c r="K24" s="118"/>
      <c r="L24" s="254"/>
      <c r="M24" s="255"/>
      <c r="N24" s="117"/>
      <c r="O24" s="256"/>
      <c r="P24" s="257"/>
      <c r="Q24" s="118"/>
      <c r="R24" s="118"/>
      <c r="S24" s="118"/>
      <c r="T24" s="118"/>
      <c r="U24" s="118"/>
      <c r="V24" s="118"/>
      <c r="W24" s="117"/>
      <c r="X24" s="258"/>
      <c r="Y24" s="118"/>
      <c r="Z24" s="259"/>
      <c r="AA24" s="118"/>
      <c r="AB24" s="259"/>
      <c r="AC24" s="118"/>
      <c r="AD24" s="259"/>
      <c r="AE24" s="259"/>
      <c r="AF24" s="118"/>
      <c r="AG24" s="118"/>
      <c r="AH24" s="118"/>
      <c r="AI24" s="118"/>
      <c r="AJ24" s="118"/>
      <c r="AK24" s="118"/>
      <c r="AL24" s="186"/>
      <c r="AM24" s="118"/>
      <c r="AN24" s="186"/>
      <c r="AO24" s="118"/>
      <c r="AP24" s="186"/>
      <c r="AQ24" s="118"/>
      <c r="AR24" s="186"/>
      <c r="AS24" s="118"/>
      <c r="AT24" s="186"/>
      <c r="AU24" s="118"/>
      <c r="AV24" s="186"/>
      <c r="AW24" s="118"/>
      <c r="AX24" s="186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287"/>
      <c r="BZ24" s="196"/>
    </row>
    <row r="25" spans="1:80" s="114" customFormat="1" ht="19.149999999999999" customHeight="1" thickTop="1" thickBot="1" x14ac:dyDescent="0.25">
      <c r="A25" s="379" t="s">
        <v>43</v>
      </c>
      <c r="B25" s="380" t="s">
        <v>172</v>
      </c>
      <c r="C25" s="131">
        <v>8870652.25</v>
      </c>
      <c r="D25" s="264">
        <v>44722</v>
      </c>
      <c r="E25" s="264">
        <v>48009</v>
      </c>
      <c r="F25" s="124">
        <v>5250000</v>
      </c>
      <c r="G25" s="124">
        <v>0</v>
      </c>
      <c r="H25" s="124">
        <f>F25-G25</f>
        <v>5250000</v>
      </c>
      <c r="I25" s="124">
        <v>750000</v>
      </c>
      <c r="J25" s="124">
        <f>H25-I25</f>
        <v>4500000</v>
      </c>
      <c r="K25" s="124">
        <v>750000</v>
      </c>
      <c r="L25" s="124">
        <v>0</v>
      </c>
      <c r="M25" s="265">
        <v>93660</v>
      </c>
      <c r="N25" s="266">
        <v>39200</v>
      </c>
      <c r="O25" s="123"/>
      <c r="P25" s="267"/>
      <c r="Q25" s="268" t="s">
        <v>17</v>
      </c>
      <c r="R25" s="124">
        <f>J25-K25</f>
        <v>3750000</v>
      </c>
      <c r="S25" s="124">
        <v>750000</v>
      </c>
      <c r="T25" s="124">
        <f>R25-S25</f>
        <v>3000000</v>
      </c>
      <c r="U25" s="124">
        <v>750000</v>
      </c>
      <c r="V25" s="124">
        <f>T25-U25</f>
        <v>2250000</v>
      </c>
      <c r="W25" s="124">
        <v>0</v>
      </c>
      <c r="X25" s="124">
        <f>V25-W25</f>
        <v>2250000</v>
      </c>
      <c r="Y25" s="381">
        <v>750000</v>
      </c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244">
        <v>8870652.25</v>
      </c>
      <c r="BF25" s="118">
        <v>0</v>
      </c>
      <c r="BG25" s="244">
        <f>BE25-BF25</f>
        <v>8870652.25</v>
      </c>
      <c r="BH25" s="118">
        <f>BG25/32*2</f>
        <v>554415.765625</v>
      </c>
      <c r="BI25" s="244">
        <f>BG25-BH25</f>
        <v>8316236.484375</v>
      </c>
      <c r="BJ25" s="118">
        <v>1108831.53125</v>
      </c>
      <c r="BK25" s="244">
        <f>BI25-BJ25</f>
        <v>7207404.953125</v>
      </c>
      <c r="BL25" s="118">
        <v>1108831.53125</v>
      </c>
      <c r="BM25" s="244">
        <f>BK25-BL25</f>
        <v>6098573.421875</v>
      </c>
      <c r="BN25" s="118">
        <v>1108831.53125</v>
      </c>
      <c r="BO25" s="244">
        <f>BM25-BN25</f>
        <v>4989741.890625</v>
      </c>
      <c r="BP25" s="118">
        <v>1108831.53125</v>
      </c>
      <c r="BQ25" s="244">
        <f>BO25-BP25</f>
        <v>3880910.359375</v>
      </c>
      <c r="BR25" s="118">
        <v>1108831.53125</v>
      </c>
      <c r="BS25" s="244">
        <f>BQ25-BR25</f>
        <v>2772078.828125</v>
      </c>
      <c r="BT25" s="118">
        <v>1108831.53125</v>
      </c>
      <c r="BU25" s="244">
        <f>BS25-BT25</f>
        <v>1663247.296875</v>
      </c>
      <c r="BV25" s="118">
        <v>1108831.53125</v>
      </c>
      <c r="BW25" s="244">
        <f>BU25-BV25</f>
        <v>554415.765625</v>
      </c>
      <c r="BX25" s="299">
        <v>554415.765625</v>
      </c>
      <c r="BY25" s="382" t="s">
        <v>163</v>
      </c>
      <c r="BZ25" s="383" t="s">
        <v>164</v>
      </c>
      <c r="CA25" s="119"/>
    </row>
    <row r="26" spans="1:80" s="14" customFormat="1" ht="11.25" customHeight="1" thickBot="1" x14ac:dyDescent="0.2">
      <c r="B26" s="181"/>
      <c r="C26" s="68"/>
      <c r="D26" s="70"/>
      <c r="E26" s="70"/>
      <c r="F26" s="53"/>
      <c r="G26" s="53"/>
      <c r="H26" s="40"/>
      <c r="I26" s="53"/>
      <c r="J26" s="40"/>
      <c r="K26" s="40"/>
      <c r="L26" s="40"/>
      <c r="M26" s="103"/>
      <c r="N26" s="104"/>
      <c r="O26" s="105"/>
      <c r="P26" s="106"/>
      <c r="Q26" s="107"/>
      <c r="R26" s="83"/>
      <c r="S26" s="40"/>
      <c r="T26" s="83"/>
      <c r="U26" s="40"/>
      <c r="V26" s="83"/>
      <c r="W26" s="40"/>
      <c r="X26" s="112"/>
      <c r="Y26" s="183"/>
      <c r="Z26" s="182"/>
      <c r="AA26" s="183"/>
      <c r="AB26" s="261"/>
      <c r="AC26" s="183"/>
      <c r="AD26" s="260"/>
      <c r="AE26" s="260"/>
      <c r="AF26" s="184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195"/>
    </row>
    <row r="27" spans="1:80" s="14" customFormat="1" ht="11.25" customHeight="1" thickBot="1" x14ac:dyDescent="0.25">
      <c r="A27" s="170"/>
      <c r="B27" s="234" t="s">
        <v>84</v>
      </c>
      <c r="C27" s="197"/>
      <c r="D27" s="116"/>
      <c r="E27" s="116"/>
      <c r="F27" s="253"/>
      <c r="G27" s="253"/>
      <c r="H27" s="118"/>
      <c r="I27" s="253"/>
      <c r="J27" s="118"/>
      <c r="K27" s="118"/>
      <c r="L27" s="118"/>
      <c r="M27" s="254"/>
      <c r="N27" s="255"/>
      <c r="O27" s="117"/>
      <c r="P27" s="256"/>
      <c r="Q27" s="257"/>
      <c r="R27" s="118"/>
      <c r="S27" s="118"/>
      <c r="T27" s="118"/>
      <c r="U27" s="118"/>
      <c r="V27" s="118"/>
      <c r="W27" s="118"/>
      <c r="X27" s="117"/>
      <c r="Y27" s="260"/>
      <c r="Z27" s="261"/>
      <c r="AA27" s="260"/>
      <c r="AB27" s="261"/>
      <c r="AC27" s="260"/>
      <c r="AD27" s="260"/>
      <c r="AE27" s="260"/>
      <c r="AF27" s="262"/>
      <c r="AG27" s="260"/>
      <c r="AH27" s="260"/>
      <c r="AI27" s="262"/>
      <c r="AJ27" s="260"/>
      <c r="AK27" s="262"/>
      <c r="AL27" s="260"/>
      <c r="AM27" s="262"/>
      <c r="AN27" s="260"/>
      <c r="AO27" s="262"/>
      <c r="AP27" s="260"/>
      <c r="AQ27" s="262"/>
      <c r="AR27" s="260"/>
      <c r="AS27" s="262"/>
      <c r="AT27" s="260"/>
      <c r="AU27" s="262"/>
      <c r="AV27" s="260"/>
      <c r="AW27" s="262"/>
      <c r="AX27" s="260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195"/>
      <c r="BZ27" s="193"/>
    </row>
    <row r="28" spans="1:80" s="14" customFormat="1" ht="11.25" customHeight="1" thickTop="1" thickBot="1" x14ac:dyDescent="0.25">
      <c r="A28" s="240" t="s">
        <v>14</v>
      </c>
      <c r="B28" s="201" t="s">
        <v>89</v>
      </c>
      <c r="C28" s="68">
        <v>1499987.03</v>
      </c>
      <c r="D28" s="44">
        <v>43069</v>
      </c>
      <c r="E28" s="44">
        <v>46721</v>
      </c>
      <c r="F28" s="53"/>
      <c r="G28" s="53"/>
      <c r="H28" s="40"/>
      <c r="I28" s="53"/>
      <c r="J28" s="40"/>
      <c r="K28" s="40"/>
      <c r="L28" s="40"/>
      <c r="M28" s="103"/>
      <c r="N28" s="104"/>
      <c r="O28" s="105"/>
      <c r="P28" s="106"/>
      <c r="Q28" s="107"/>
      <c r="R28" s="83"/>
      <c r="S28" s="40"/>
      <c r="T28" s="83"/>
      <c r="U28" s="40"/>
      <c r="V28" s="83"/>
      <c r="W28" s="40"/>
      <c r="X28" s="112"/>
      <c r="Y28" s="183"/>
      <c r="Z28" s="112">
        <f>$C$28</f>
        <v>1499987.03</v>
      </c>
      <c r="AA28" s="183">
        <v>0</v>
      </c>
      <c r="AB28" s="160">
        <f>Z28-AA28</f>
        <v>1499987.03</v>
      </c>
      <c r="AC28" s="188">
        <v>27777.54</v>
      </c>
      <c r="AD28" s="160">
        <f>AB28-AC28</f>
        <v>1472209.49</v>
      </c>
      <c r="AE28" s="244"/>
      <c r="AF28" s="299">
        <v>1472209.49</v>
      </c>
      <c r="AG28" s="321" t="s">
        <v>157</v>
      </c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8"/>
      <c r="BD28" s="328"/>
      <c r="BE28" s="328"/>
      <c r="BF28" s="328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412" t="s">
        <v>97</v>
      </c>
      <c r="BZ28" s="413" t="s">
        <v>83</v>
      </c>
      <c r="CA28" s="188"/>
    </row>
    <row r="29" spans="1:80" s="14" customFormat="1" ht="11.25" customHeight="1" thickTop="1" thickBot="1" x14ac:dyDescent="0.25">
      <c r="A29" s="240" t="s">
        <v>14</v>
      </c>
      <c r="B29" s="201" t="s">
        <v>147</v>
      </c>
      <c r="C29" s="68">
        <v>1493788.13</v>
      </c>
      <c r="D29" s="44">
        <v>43797</v>
      </c>
      <c r="E29" s="44">
        <v>47452</v>
      </c>
      <c r="F29" s="53"/>
      <c r="G29" s="53"/>
      <c r="H29" s="40"/>
      <c r="I29" s="53"/>
      <c r="J29" s="40"/>
      <c r="K29" s="40"/>
      <c r="L29" s="40"/>
      <c r="M29" s="103"/>
      <c r="N29" s="104"/>
      <c r="O29" s="105"/>
      <c r="P29" s="106"/>
      <c r="Q29" s="107"/>
      <c r="R29" s="83"/>
      <c r="S29" s="40"/>
      <c r="T29" s="83"/>
      <c r="U29" s="40"/>
      <c r="V29" s="83"/>
      <c r="W29" s="40"/>
      <c r="X29" s="112"/>
      <c r="Y29" s="183"/>
      <c r="Z29" s="112">
        <f>$C$28</f>
        <v>1499987.03</v>
      </c>
      <c r="AA29" s="183">
        <v>0</v>
      </c>
      <c r="AB29" s="160">
        <v>0</v>
      </c>
      <c r="AC29" s="188">
        <v>0</v>
      </c>
      <c r="AD29" s="160">
        <f>AB29-AC29</f>
        <v>0</v>
      </c>
      <c r="AE29" s="160">
        <v>1493788.13</v>
      </c>
      <c r="AF29" s="14">
        <v>0</v>
      </c>
      <c r="AG29" s="326">
        <f>AE29-AF29</f>
        <v>1493788.13</v>
      </c>
      <c r="AH29" s="244"/>
      <c r="AI29" s="299">
        <v>1493788.13</v>
      </c>
      <c r="AJ29" s="244"/>
      <c r="AK29" s="317"/>
      <c r="AL29" s="244"/>
      <c r="AM29" s="317"/>
      <c r="AN29" s="244"/>
      <c r="AO29" s="317"/>
      <c r="AP29" s="244"/>
      <c r="AQ29" s="317"/>
      <c r="AR29" s="244"/>
      <c r="AS29" s="317"/>
      <c r="AT29" s="244"/>
      <c r="AU29" s="317"/>
      <c r="AV29" s="244"/>
      <c r="AW29" s="308"/>
      <c r="AX29" s="244"/>
      <c r="AY29" s="308"/>
      <c r="AZ29" s="311"/>
      <c r="BA29" s="311"/>
      <c r="BB29" s="376" t="s">
        <v>156</v>
      </c>
      <c r="BC29" s="376"/>
      <c r="BD29" s="376"/>
      <c r="BE29" s="376"/>
      <c r="BF29" s="376"/>
      <c r="BG29" s="244"/>
      <c r="BH29" s="319"/>
      <c r="BI29" s="244"/>
      <c r="BJ29" s="319"/>
      <c r="BK29" s="244"/>
      <c r="BL29" s="319"/>
      <c r="BM29" s="244"/>
      <c r="BN29" s="319"/>
      <c r="BO29" s="244"/>
      <c r="BP29" s="319"/>
      <c r="BQ29" s="244"/>
      <c r="BR29" s="319"/>
      <c r="BS29" s="244"/>
      <c r="BT29" s="311"/>
      <c r="BU29" s="244"/>
      <c r="BV29" s="311"/>
      <c r="BW29" s="244"/>
      <c r="BX29" s="311"/>
      <c r="BY29" s="412"/>
      <c r="BZ29" s="413"/>
      <c r="CA29" s="188"/>
    </row>
    <row r="30" spans="1:80" s="14" customFormat="1" ht="14.25" customHeight="1" thickBot="1" x14ac:dyDescent="0.25">
      <c r="B30" s="234" t="s">
        <v>104</v>
      </c>
      <c r="C30" s="115"/>
      <c r="D30" s="252"/>
      <c r="E30" s="252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6"/>
      <c r="AF30" s="125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92"/>
      <c r="BZ30" s="185"/>
      <c r="CB30" s="14" t="s">
        <v>60</v>
      </c>
    </row>
    <row r="31" spans="1:80" s="114" customFormat="1" ht="12.75" customHeight="1" thickBot="1" x14ac:dyDescent="0.25">
      <c r="A31" s="234" t="s">
        <v>43</v>
      </c>
      <c r="B31" s="247" t="s">
        <v>105</v>
      </c>
      <c r="C31" s="33">
        <v>6000000</v>
      </c>
      <c r="D31" s="34">
        <v>38835</v>
      </c>
      <c r="E31" s="34">
        <v>42853</v>
      </c>
      <c r="F31" s="35">
        <v>5250000</v>
      </c>
      <c r="G31" s="35">
        <v>0</v>
      </c>
      <c r="H31" s="35">
        <f>F31-G31</f>
        <v>5250000</v>
      </c>
      <c r="I31" s="35">
        <v>750000</v>
      </c>
      <c r="J31" s="35">
        <f>H31-I31</f>
        <v>4500000</v>
      </c>
      <c r="K31" s="35">
        <v>750000</v>
      </c>
      <c r="L31" s="35">
        <v>0</v>
      </c>
      <c r="M31" s="36">
        <v>93660</v>
      </c>
      <c r="N31" s="42">
        <v>39200</v>
      </c>
      <c r="O31" s="38"/>
      <c r="P31" s="39"/>
      <c r="Q31" s="41" t="s">
        <v>17</v>
      </c>
      <c r="R31" s="80">
        <f>J31-K31</f>
        <v>3750000</v>
      </c>
      <c r="S31" s="35">
        <v>750000</v>
      </c>
      <c r="T31" s="80">
        <f>R31-S31</f>
        <v>3000000</v>
      </c>
      <c r="U31" s="35">
        <v>750000</v>
      </c>
      <c r="V31" s="80">
        <f>T31-U31</f>
        <v>2250000</v>
      </c>
      <c r="W31" s="71">
        <v>0</v>
      </c>
      <c r="X31" s="80">
        <f>V31-W31</f>
        <v>2250000</v>
      </c>
      <c r="Y31" s="129">
        <v>750000</v>
      </c>
      <c r="Z31" s="333" t="s">
        <v>76</v>
      </c>
      <c r="AA31" s="333"/>
      <c r="AB31" s="394" t="s">
        <v>167</v>
      </c>
      <c r="AC31" s="394"/>
      <c r="AD31" s="394"/>
      <c r="AE31" s="394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271" t="s">
        <v>41</v>
      </c>
      <c r="BZ31" s="56"/>
      <c r="CA31" s="56"/>
    </row>
    <row r="32" spans="1:80" s="14" customFormat="1" ht="9" customHeight="1" thickBot="1" x14ac:dyDescent="0.2">
      <c r="A32" s="29"/>
      <c r="B32" s="39" t="s">
        <v>160</v>
      </c>
      <c r="C32" s="33">
        <v>3465720</v>
      </c>
      <c r="D32" s="34">
        <v>39261</v>
      </c>
      <c r="E32" s="34">
        <v>42914</v>
      </c>
      <c r="F32" s="38">
        <v>3465720</v>
      </c>
      <c r="G32" s="38">
        <v>433215</v>
      </c>
      <c r="H32" s="38">
        <f>F32-G32</f>
        <v>3032505</v>
      </c>
      <c r="I32" s="38">
        <v>433215</v>
      </c>
      <c r="J32" s="35">
        <f>H32-I32</f>
        <v>2599290</v>
      </c>
      <c r="K32" s="38">
        <v>433215</v>
      </c>
      <c r="L32" s="35">
        <v>0</v>
      </c>
      <c r="M32" s="36">
        <v>491231.15279999998</v>
      </c>
      <c r="N32" s="42">
        <v>39992</v>
      </c>
      <c r="O32" s="38"/>
      <c r="P32" s="39"/>
      <c r="Q32" s="41" t="s">
        <v>16</v>
      </c>
      <c r="R32" s="80">
        <f>J32-K32</f>
        <v>2166075</v>
      </c>
      <c r="S32" s="38">
        <v>433215</v>
      </c>
      <c r="T32" s="80">
        <f>R32-S32</f>
        <v>1732860</v>
      </c>
      <c r="U32" s="38">
        <v>433215</v>
      </c>
      <c r="V32" s="80">
        <f>T32-U32</f>
        <v>1299645</v>
      </c>
      <c r="W32" s="38">
        <v>433215</v>
      </c>
      <c r="X32" s="87">
        <f>V32-W32</f>
        <v>866430</v>
      </c>
      <c r="Y32" s="38">
        <v>433215</v>
      </c>
      <c r="Z32" s="87">
        <f>X32-Y32</f>
        <v>433215</v>
      </c>
      <c r="AA32" s="178">
        <v>433215</v>
      </c>
      <c r="AB32" s="123"/>
      <c r="AC32" s="38"/>
      <c r="AD32" s="123"/>
      <c r="AE32" s="123"/>
      <c r="AF32" s="38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271" t="s">
        <v>40</v>
      </c>
    </row>
    <row r="33" spans="1:79" s="14" customFormat="1" ht="3.75" hidden="1" customHeight="1" thickBot="1" x14ac:dyDescent="0.2">
      <c r="A33" s="114"/>
      <c r="B33" s="396" t="s">
        <v>43</v>
      </c>
      <c r="C33" s="397"/>
      <c r="D33" s="252"/>
      <c r="E33" s="252"/>
      <c r="F33" s="126"/>
      <c r="G33" s="126"/>
      <c r="H33" s="126"/>
      <c r="I33" s="263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5"/>
      <c r="V33" s="126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272"/>
      <c r="BZ33" s="31"/>
    </row>
    <row r="34" spans="1:79" s="114" customFormat="1" ht="19.149999999999999" customHeight="1" thickTop="1" thickBot="1" x14ac:dyDescent="0.25">
      <c r="A34" s="379" t="s">
        <v>43</v>
      </c>
      <c r="B34" s="380" t="s">
        <v>161</v>
      </c>
      <c r="C34" s="131">
        <v>6453753</v>
      </c>
      <c r="D34" s="264">
        <v>44834</v>
      </c>
      <c r="E34" s="264">
        <v>48121</v>
      </c>
      <c r="F34" s="124">
        <v>5250000</v>
      </c>
      <c r="G34" s="124">
        <v>0</v>
      </c>
      <c r="H34" s="124">
        <f>F34-G34</f>
        <v>5250000</v>
      </c>
      <c r="I34" s="124">
        <v>750000</v>
      </c>
      <c r="J34" s="124">
        <f>H34-I34</f>
        <v>4500000</v>
      </c>
      <c r="K34" s="124">
        <v>750000</v>
      </c>
      <c r="L34" s="124">
        <v>0</v>
      </c>
      <c r="M34" s="265">
        <v>93660</v>
      </c>
      <c r="N34" s="266">
        <v>39200</v>
      </c>
      <c r="O34" s="123"/>
      <c r="P34" s="267"/>
      <c r="Q34" s="268" t="s">
        <v>17</v>
      </c>
      <c r="R34" s="124">
        <f>J34-K34</f>
        <v>3750000</v>
      </c>
      <c r="S34" s="124">
        <v>750000</v>
      </c>
      <c r="T34" s="124">
        <f>R34-S34</f>
        <v>3000000</v>
      </c>
      <c r="U34" s="124">
        <v>750000</v>
      </c>
      <c r="V34" s="124">
        <f>T34-U34</f>
        <v>2250000</v>
      </c>
      <c r="W34" s="124">
        <v>0</v>
      </c>
      <c r="X34" s="124">
        <f>V34-W34</f>
        <v>2250000</v>
      </c>
      <c r="Y34" s="381">
        <v>750000</v>
      </c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244">
        <v>6453753</v>
      </c>
      <c r="BF34" s="118">
        <v>0</v>
      </c>
      <c r="BG34" s="244">
        <f>BE34-BF34</f>
        <v>6453753</v>
      </c>
      <c r="BH34" s="118">
        <f>BG34/32*2</f>
        <v>403359.5625</v>
      </c>
      <c r="BI34" s="244">
        <f>BG34-BH34</f>
        <v>6050393.4375</v>
      </c>
      <c r="BJ34" s="118">
        <v>806719.12</v>
      </c>
      <c r="BK34" s="244">
        <f>BI34-BJ34</f>
        <v>5243674.3174999999</v>
      </c>
      <c r="BL34" s="118">
        <v>806719.12</v>
      </c>
      <c r="BM34" s="244">
        <f>BK34-BL34</f>
        <v>4436955.1974999998</v>
      </c>
      <c r="BN34" s="118">
        <v>806719.12</v>
      </c>
      <c r="BO34" s="244">
        <f>BM34-BN34</f>
        <v>3630236.0774999997</v>
      </c>
      <c r="BP34" s="118">
        <v>806719.12</v>
      </c>
      <c r="BQ34" s="244">
        <f>BO34-BP34</f>
        <v>2823516.9574999996</v>
      </c>
      <c r="BR34" s="118">
        <v>806719.12</v>
      </c>
      <c r="BS34" s="244">
        <f>BQ34-BR34</f>
        <v>2016797.8374999994</v>
      </c>
      <c r="BT34" s="118">
        <v>806719.12</v>
      </c>
      <c r="BU34" s="244">
        <f>BS34-BT34</f>
        <v>1210078.7174999993</v>
      </c>
      <c r="BV34" s="118">
        <v>806719.12</v>
      </c>
      <c r="BW34" s="244">
        <f>BU34-BV34</f>
        <v>403359.59749999933</v>
      </c>
      <c r="BX34" s="299">
        <f>BW34</f>
        <v>403359.59749999933</v>
      </c>
      <c r="BY34" s="382" t="s">
        <v>163</v>
      </c>
      <c r="BZ34" s="383" t="s">
        <v>164</v>
      </c>
      <c r="CA34" s="119"/>
    </row>
    <row r="35" spans="1:79" ht="12" customHeight="1" thickBot="1" x14ac:dyDescent="0.2"/>
    <row r="36" spans="1:79" s="14" customFormat="1" ht="10.5" customHeight="1" thickTop="1" thickBot="1" x14ac:dyDescent="0.2">
      <c r="A36" s="239" t="s">
        <v>38</v>
      </c>
      <c r="B36" s="390" t="s">
        <v>94</v>
      </c>
      <c r="C36" s="391"/>
      <c r="D36" s="132"/>
      <c r="E36" s="132"/>
      <c r="F36" s="264">
        <v>42914</v>
      </c>
      <c r="G36" s="123">
        <v>3465720</v>
      </c>
      <c r="H36" s="123">
        <v>433215</v>
      </c>
      <c r="I36" s="123">
        <f>G36-H36</f>
        <v>3032505</v>
      </c>
      <c r="J36" s="123">
        <v>433215</v>
      </c>
      <c r="K36" s="124">
        <f>I36-J36</f>
        <v>2599290</v>
      </c>
      <c r="L36" s="123">
        <v>433215</v>
      </c>
      <c r="M36" s="124">
        <v>0</v>
      </c>
      <c r="N36" s="265">
        <v>491231.15279999998</v>
      </c>
      <c r="O36" s="266">
        <v>39992</v>
      </c>
      <c r="P36" s="123"/>
      <c r="Q36" s="267"/>
      <c r="R36" s="268" t="s">
        <v>16</v>
      </c>
      <c r="S36" s="124">
        <f>K36-L36</f>
        <v>2166075</v>
      </c>
      <c r="T36" s="123">
        <v>433215</v>
      </c>
      <c r="U36" s="124">
        <f>S36-T36</f>
        <v>1732860</v>
      </c>
      <c r="V36" s="123">
        <v>433215</v>
      </c>
      <c r="W36" s="124">
        <f>U36-V36</f>
        <v>1299645</v>
      </c>
      <c r="X36" s="123"/>
      <c r="Y36" s="123"/>
      <c r="Z36" s="269"/>
      <c r="AA36" s="123"/>
      <c r="AB36" s="270"/>
      <c r="AC36" s="214"/>
      <c r="AD36" s="260"/>
      <c r="AE36" s="260"/>
      <c r="AF36" s="123"/>
      <c r="AG36" s="244"/>
      <c r="AH36" s="244"/>
      <c r="AI36" s="123"/>
      <c r="AJ36" s="244"/>
      <c r="AK36" s="123"/>
      <c r="AL36" s="244"/>
      <c r="AM36" s="123"/>
      <c r="AN36" s="244"/>
      <c r="AO36" s="123"/>
      <c r="AP36" s="244"/>
      <c r="AQ36" s="123"/>
      <c r="AR36" s="244"/>
      <c r="AS36" s="123"/>
      <c r="AT36" s="244"/>
      <c r="AU36" s="123"/>
      <c r="AV36" s="244"/>
      <c r="AW36" s="123"/>
      <c r="AX36" s="244"/>
      <c r="AY36" s="123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272"/>
      <c r="BZ36" s="215" t="s">
        <v>95</v>
      </c>
    </row>
    <row r="37" spans="1:79" s="14" customFormat="1" ht="11.25" customHeight="1" thickTop="1" thickBot="1" x14ac:dyDescent="0.2">
      <c r="B37" s="32" t="s">
        <v>88</v>
      </c>
      <c r="C37" s="211">
        <v>5967767.25</v>
      </c>
      <c r="D37" s="44">
        <v>42936</v>
      </c>
      <c r="E37" s="44">
        <v>46588</v>
      </c>
      <c r="F37" s="34">
        <v>42914</v>
      </c>
      <c r="G37" s="38">
        <v>3465720</v>
      </c>
      <c r="H37" s="38">
        <v>433215</v>
      </c>
      <c r="I37" s="38">
        <f>G37-H37</f>
        <v>3032505</v>
      </c>
      <c r="J37" s="38">
        <v>433215</v>
      </c>
      <c r="K37" s="35">
        <f>I37-J37</f>
        <v>2599290</v>
      </c>
      <c r="L37" s="38">
        <v>433215</v>
      </c>
      <c r="M37" s="35">
        <v>0</v>
      </c>
      <c r="N37" s="36">
        <v>491231.15279999998</v>
      </c>
      <c r="O37" s="42">
        <v>39992</v>
      </c>
      <c r="P37" s="38"/>
      <c r="Q37" s="39"/>
      <c r="R37" s="41" t="s">
        <v>16</v>
      </c>
      <c r="S37" s="80">
        <f>K37-L37</f>
        <v>2166075</v>
      </c>
      <c r="T37" s="38">
        <v>433215</v>
      </c>
      <c r="U37" s="80">
        <f>S37-T37</f>
        <v>1732860</v>
      </c>
      <c r="V37" s="38">
        <v>433215</v>
      </c>
      <c r="W37" s="80">
        <f>U37-V37</f>
        <v>1299645</v>
      </c>
      <c r="X37" s="200"/>
      <c r="Y37" s="123"/>
      <c r="Z37" s="213">
        <v>5967767.25</v>
      </c>
      <c r="AA37" s="123"/>
      <c r="AB37" s="212">
        <v>5967767.25</v>
      </c>
      <c r="AC37" s="214">
        <v>165771.3125</v>
      </c>
      <c r="AD37" s="180">
        <f>AB37-AC37</f>
        <v>5801995.9375</v>
      </c>
      <c r="AE37" s="260"/>
      <c r="AF37" s="299">
        <v>5801995.9375</v>
      </c>
      <c r="AG37" s="321" t="s">
        <v>145</v>
      </c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8"/>
      <c r="BD37" s="328"/>
      <c r="BE37" s="328"/>
      <c r="BF37" s="328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271" t="s">
        <v>40</v>
      </c>
      <c r="BZ37" s="296"/>
    </row>
    <row r="38" spans="1:79" s="14" customFormat="1" ht="11.25" customHeight="1" thickTop="1" thickBot="1" x14ac:dyDescent="0.2">
      <c r="B38" s="102"/>
      <c r="C38" s="384"/>
      <c r="D38" s="34"/>
      <c r="E38" s="34"/>
      <c r="F38" s="34"/>
      <c r="G38" s="38"/>
      <c r="H38" s="38"/>
      <c r="I38" s="38"/>
      <c r="J38" s="38"/>
      <c r="K38" s="35"/>
      <c r="L38" s="38"/>
      <c r="M38" s="35"/>
      <c r="N38" s="36"/>
      <c r="O38" s="42"/>
      <c r="P38" s="38"/>
      <c r="Q38" s="39"/>
      <c r="R38" s="41"/>
      <c r="S38" s="80"/>
      <c r="T38" s="38"/>
      <c r="U38" s="80"/>
      <c r="V38" s="38"/>
      <c r="W38" s="80"/>
      <c r="X38" s="200"/>
      <c r="Y38" s="123"/>
      <c r="Z38" s="385"/>
      <c r="AA38" s="117"/>
      <c r="AB38" s="386"/>
      <c r="AC38" s="387"/>
      <c r="AD38" s="180"/>
      <c r="AE38" s="260"/>
      <c r="AF38" s="299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376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271"/>
      <c r="BZ38" s="377"/>
    </row>
    <row r="39" spans="1:79" s="14" customFormat="1" ht="11.25" customHeight="1" thickTop="1" thickBot="1" x14ac:dyDescent="0.2">
      <c r="B39" s="390" t="s">
        <v>187</v>
      </c>
      <c r="C39" s="391"/>
      <c r="D39" s="34"/>
      <c r="E39" s="34"/>
      <c r="F39" s="34"/>
      <c r="G39" s="38"/>
      <c r="H39" s="38"/>
      <c r="I39" s="38"/>
      <c r="J39" s="38"/>
      <c r="K39" s="35"/>
      <c r="L39" s="38"/>
      <c r="M39" s="35"/>
      <c r="N39" s="36"/>
      <c r="O39" s="42"/>
      <c r="P39" s="38"/>
      <c r="Q39" s="39"/>
      <c r="R39" s="41"/>
      <c r="S39" s="80"/>
      <c r="T39" s="38"/>
      <c r="U39" s="80"/>
      <c r="V39" s="38"/>
      <c r="W39" s="80"/>
      <c r="X39" s="200"/>
      <c r="Y39" s="123"/>
      <c r="Z39" s="385"/>
      <c r="AA39" s="117"/>
      <c r="AB39" s="386"/>
      <c r="AC39" s="387"/>
      <c r="AD39" s="180"/>
      <c r="AE39" s="260"/>
      <c r="AF39" s="299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271"/>
      <c r="BZ39" s="377"/>
    </row>
    <row r="40" spans="1:79" s="358" customFormat="1" ht="19.149999999999999" customHeight="1" thickTop="1" thickBot="1" x14ac:dyDescent="0.25">
      <c r="A40" s="342" t="s">
        <v>43</v>
      </c>
      <c r="B40" s="388" t="s">
        <v>184</v>
      </c>
      <c r="C40" s="343">
        <v>7352734.0499999998</v>
      </c>
      <c r="D40" s="344">
        <v>44849</v>
      </c>
      <c r="E40" s="344">
        <v>48136</v>
      </c>
      <c r="F40" s="345">
        <v>5250000</v>
      </c>
      <c r="G40" s="345">
        <v>0</v>
      </c>
      <c r="H40" s="345">
        <f>F40-G40</f>
        <v>5250000</v>
      </c>
      <c r="I40" s="345">
        <v>750000</v>
      </c>
      <c r="J40" s="345">
        <f>H40-I40</f>
        <v>4500000</v>
      </c>
      <c r="K40" s="345">
        <v>750000</v>
      </c>
      <c r="L40" s="345">
        <v>0</v>
      </c>
      <c r="M40" s="346">
        <v>93660</v>
      </c>
      <c r="N40" s="347">
        <v>39200</v>
      </c>
      <c r="O40" s="348"/>
      <c r="P40" s="349"/>
      <c r="Q40" s="350" t="s">
        <v>17</v>
      </c>
      <c r="R40" s="345">
        <f>J40-K40</f>
        <v>3750000</v>
      </c>
      <c r="S40" s="345">
        <v>750000</v>
      </c>
      <c r="T40" s="345">
        <f>R40-S40</f>
        <v>3000000</v>
      </c>
      <c r="U40" s="345">
        <v>750000</v>
      </c>
      <c r="V40" s="345">
        <f>T40-U40</f>
        <v>2250000</v>
      </c>
      <c r="W40" s="345">
        <v>0</v>
      </c>
      <c r="X40" s="345">
        <f>V40-W40</f>
        <v>2250000</v>
      </c>
      <c r="Y40" s="351">
        <v>750000</v>
      </c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4">
        <v>7352734.0499999998</v>
      </c>
      <c r="BF40" s="355">
        <v>0</v>
      </c>
      <c r="BG40" s="354">
        <f>BE40-BF40</f>
        <v>7352734.0499999998</v>
      </c>
      <c r="BH40" s="355">
        <f>BG40/32*1</f>
        <v>229772.93906249999</v>
      </c>
      <c r="BI40" s="354">
        <f>BG40-BH40</f>
        <v>7122961.1109374994</v>
      </c>
      <c r="BJ40" s="355">
        <f>BG40/32*4</f>
        <v>919091.75624999998</v>
      </c>
      <c r="BK40" s="354">
        <f>BI40-BJ40</f>
        <v>6203869.3546874998</v>
      </c>
      <c r="BL40" s="355">
        <v>919091.75624999998</v>
      </c>
      <c r="BM40" s="354">
        <f>BK40-BL40</f>
        <v>5284777.5984375002</v>
      </c>
      <c r="BN40" s="355">
        <v>919091.75624999998</v>
      </c>
      <c r="BO40" s="354">
        <f>BM40-BN40</f>
        <v>4365685.8421875006</v>
      </c>
      <c r="BP40" s="355">
        <v>919091.75624999998</v>
      </c>
      <c r="BQ40" s="354">
        <f>BO40-BP40</f>
        <v>3446594.0859375005</v>
      </c>
      <c r="BR40" s="355">
        <v>919091.75624999998</v>
      </c>
      <c r="BS40" s="354">
        <f>BQ40-BR40</f>
        <v>2527502.3296875004</v>
      </c>
      <c r="BT40" s="355">
        <v>919091.75624999998</v>
      </c>
      <c r="BU40" s="354">
        <f>BS40-BT40</f>
        <v>1608410.5734375003</v>
      </c>
      <c r="BV40" s="355">
        <v>919091.75624999998</v>
      </c>
      <c r="BW40" s="354">
        <f>BU40-BV40</f>
        <v>689318.8171875003</v>
      </c>
      <c r="BX40" s="299">
        <f>BW40</f>
        <v>689318.8171875003</v>
      </c>
      <c r="BY40" s="356" t="s">
        <v>163</v>
      </c>
      <c r="BZ40" s="389" t="s">
        <v>188</v>
      </c>
      <c r="CA40" s="357"/>
    </row>
    <row r="41" spans="1:79" s="358" customFormat="1" ht="19.149999999999999" customHeight="1" thickTop="1" thickBot="1" x14ac:dyDescent="0.25">
      <c r="A41" s="342" t="s">
        <v>43</v>
      </c>
      <c r="B41" s="388" t="s">
        <v>185</v>
      </c>
      <c r="C41" s="343">
        <v>7339094.3799999999</v>
      </c>
      <c r="D41" s="344">
        <v>44849</v>
      </c>
      <c r="E41" s="344">
        <v>48136</v>
      </c>
      <c r="F41" s="345">
        <v>5250000</v>
      </c>
      <c r="G41" s="345">
        <v>0</v>
      </c>
      <c r="H41" s="345">
        <f>F41-G41</f>
        <v>5250000</v>
      </c>
      <c r="I41" s="345">
        <v>750000</v>
      </c>
      <c r="J41" s="345">
        <f>H41-I41</f>
        <v>4500000</v>
      </c>
      <c r="K41" s="345">
        <v>750000</v>
      </c>
      <c r="L41" s="345">
        <v>0</v>
      </c>
      <c r="M41" s="346">
        <v>93660</v>
      </c>
      <c r="N41" s="347">
        <v>39200</v>
      </c>
      <c r="O41" s="348"/>
      <c r="P41" s="349"/>
      <c r="Q41" s="350" t="s">
        <v>17</v>
      </c>
      <c r="R41" s="345">
        <f>J41-K41</f>
        <v>3750000</v>
      </c>
      <c r="S41" s="345">
        <v>750000</v>
      </c>
      <c r="T41" s="345">
        <f>R41-S41</f>
        <v>3000000</v>
      </c>
      <c r="U41" s="345">
        <v>750000</v>
      </c>
      <c r="V41" s="345">
        <f>T41-U41</f>
        <v>2250000</v>
      </c>
      <c r="W41" s="345">
        <v>0</v>
      </c>
      <c r="X41" s="345">
        <f>V41-W41</f>
        <v>2250000</v>
      </c>
      <c r="Y41" s="351">
        <v>750000</v>
      </c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AX41" s="353"/>
      <c r="AY41" s="353"/>
      <c r="AZ41" s="353"/>
      <c r="BA41" s="353"/>
      <c r="BB41" s="353"/>
      <c r="BC41" s="353"/>
      <c r="BD41" s="353"/>
      <c r="BE41" s="354">
        <v>7339094.3799999999</v>
      </c>
      <c r="BF41" s="355">
        <v>0</v>
      </c>
      <c r="BG41" s="354">
        <f>BE41-BF41</f>
        <v>7339094.3799999999</v>
      </c>
      <c r="BH41" s="355">
        <f>BG41/32*1</f>
        <v>229346.699375</v>
      </c>
      <c r="BI41" s="354">
        <f>BG41-BH41</f>
        <v>7109747.680625</v>
      </c>
      <c r="BJ41" s="355">
        <f>BG41/32*4</f>
        <v>917386.79749999999</v>
      </c>
      <c r="BK41" s="354">
        <f>BI41-BJ41</f>
        <v>6192360.8831249997</v>
      </c>
      <c r="BL41" s="355">
        <v>919091.75624999998</v>
      </c>
      <c r="BM41" s="354">
        <f>BK41-BL41</f>
        <v>5273269.1268750001</v>
      </c>
      <c r="BN41" s="355">
        <v>919091.75624999998</v>
      </c>
      <c r="BO41" s="354">
        <f>BM41-BN41</f>
        <v>4354177.3706250004</v>
      </c>
      <c r="BP41" s="355">
        <v>919091.75624999998</v>
      </c>
      <c r="BQ41" s="354">
        <f>BO41-BP41</f>
        <v>3435085.6143750004</v>
      </c>
      <c r="BR41" s="355">
        <v>919091.75624999998</v>
      </c>
      <c r="BS41" s="354">
        <f>BQ41-BR41</f>
        <v>2515993.8581250003</v>
      </c>
      <c r="BT41" s="355">
        <v>919091.75624999998</v>
      </c>
      <c r="BU41" s="354">
        <f>BS41-BT41</f>
        <v>1596902.1018750002</v>
      </c>
      <c r="BV41" s="355">
        <v>919091.75624999998</v>
      </c>
      <c r="BW41" s="354">
        <f>BU41-BV41</f>
        <v>677810.34562500019</v>
      </c>
      <c r="BX41" s="299">
        <f>BW41</f>
        <v>677810.34562500019</v>
      </c>
      <c r="BY41" s="356" t="s">
        <v>163</v>
      </c>
      <c r="BZ41" s="389" t="s">
        <v>188</v>
      </c>
      <c r="CA41" s="357"/>
    </row>
    <row r="42" spans="1:79" s="114" customFormat="1" ht="14.45" customHeight="1" thickTop="1" thickBot="1" x14ac:dyDescent="0.2">
      <c r="A42" s="392" t="s">
        <v>106</v>
      </c>
      <c r="B42" s="392"/>
      <c r="C42" s="252"/>
      <c r="D42" s="252"/>
      <c r="E42" s="126"/>
      <c r="F42" s="126"/>
      <c r="G42" s="126"/>
      <c r="H42" s="263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5"/>
      <c r="U42" s="126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304"/>
      <c r="AM42" s="125"/>
      <c r="AN42" s="304"/>
      <c r="AO42" s="125"/>
      <c r="AP42" s="304"/>
      <c r="AQ42" s="125"/>
      <c r="AR42" s="304"/>
      <c r="AS42" s="125"/>
      <c r="AT42" s="304"/>
      <c r="AU42" s="125"/>
      <c r="AV42" s="304"/>
      <c r="AW42" s="125"/>
      <c r="AX42" s="304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272"/>
      <c r="BZ42" s="300" t="s">
        <v>128</v>
      </c>
    </row>
    <row r="43" spans="1:79" s="14" customFormat="1" ht="12" customHeight="1" thickBot="1" x14ac:dyDescent="0.2">
      <c r="B43" s="77" t="s">
        <v>101</v>
      </c>
      <c r="C43" s="232" t="s">
        <v>107</v>
      </c>
      <c r="D43" s="34">
        <v>35323</v>
      </c>
      <c r="E43" s="34">
        <v>44089</v>
      </c>
      <c r="F43" s="38">
        <v>4719927.3496568222</v>
      </c>
      <c r="G43" s="35">
        <v>236406.90322503095</v>
      </c>
      <c r="H43" s="38">
        <f>F43-G43</f>
        <v>4483520.4464317914</v>
      </c>
      <c r="I43" s="38">
        <f>44445590/166.386</f>
        <v>267123.3757647879</v>
      </c>
      <c r="J43" s="35">
        <f>H43-I43</f>
        <v>4216397.0706670033</v>
      </c>
      <c r="K43" s="35">
        <f>49937683/166.386</f>
        <v>300131.51947880234</v>
      </c>
      <c r="L43" s="35">
        <v>0</v>
      </c>
      <c r="M43" s="35">
        <v>472403.27311192045</v>
      </c>
      <c r="N43" s="35">
        <v>39340</v>
      </c>
      <c r="O43" s="35"/>
      <c r="P43" s="35"/>
      <c r="Q43" s="35" t="s">
        <v>15</v>
      </c>
      <c r="R43" s="80">
        <f>J43-K43</f>
        <v>3916265.5511882007</v>
      </c>
      <c r="S43" s="35">
        <f>55835174/166.386</f>
        <v>335576.15424374648</v>
      </c>
      <c r="T43" s="80">
        <f>R43-S43</f>
        <v>3580689.3969444544</v>
      </c>
      <c r="U43" s="35">
        <f>62163563/166.386</f>
        <v>373610.53814623825</v>
      </c>
      <c r="V43" s="80">
        <f>T43-U43</f>
        <v>3207078.8587982161</v>
      </c>
      <c r="W43" s="35">
        <v>414396.87</v>
      </c>
      <c r="X43" s="87">
        <f>V43-W43</f>
        <v>2792681.988798216</v>
      </c>
      <c r="Y43" s="109">
        <v>458106.74</v>
      </c>
      <c r="Z43" s="87">
        <f>X43-Y43</f>
        <v>2334575.2487982158</v>
      </c>
      <c r="AA43" s="35">
        <v>504921.71</v>
      </c>
      <c r="AB43" s="394" t="s">
        <v>168</v>
      </c>
      <c r="AC43" s="394"/>
      <c r="AD43" s="394"/>
      <c r="AE43" s="394"/>
      <c r="AF43" s="336">
        <v>0</v>
      </c>
      <c r="AG43" s="336">
        <f>AD43-AF43</f>
        <v>0</v>
      </c>
      <c r="AH43" s="336"/>
      <c r="AI43" s="336">
        <v>0</v>
      </c>
      <c r="AJ43" s="336">
        <f>AG43-AI43</f>
        <v>0</v>
      </c>
      <c r="AK43" s="336"/>
      <c r="AL43" s="33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9"/>
      <c r="BA43" s="309"/>
      <c r="BB43" s="315"/>
      <c r="BC43" s="315"/>
      <c r="BD43" s="323"/>
      <c r="BE43" s="33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33"/>
      <c r="BV43" s="333"/>
      <c r="BW43" s="333"/>
      <c r="BX43" s="333"/>
      <c r="BY43" s="271" t="s">
        <v>100</v>
      </c>
      <c r="BZ43" s="55">
        <v>0.05</v>
      </c>
    </row>
    <row r="44" spans="1:79" s="14" customFormat="1" ht="12.75" customHeight="1" thickTop="1" thickBot="1" x14ac:dyDescent="0.2">
      <c r="A44" s="114"/>
      <c r="B44" s="77"/>
      <c r="C44" s="232"/>
      <c r="D44" s="34"/>
      <c r="E44" s="34"/>
      <c r="F44" s="38"/>
      <c r="G44" s="35"/>
      <c r="H44" s="38"/>
      <c r="I44" s="38"/>
      <c r="J44" s="35"/>
      <c r="K44" s="35"/>
      <c r="L44" s="35"/>
      <c r="M44" s="35"/>
      <c r="N44" s="35"/>
      <c r="O44" s="35"/>
      <c r="P44" s="35"/>
      <c r="Q44" s="35"/>
      <c r="R44" s="80"/>
      <c r="S44" s="35"/>
      <c r="T44" s="80"/>
      <c r="U44" s="35"/>
      <c r="V44" s="80"/>
      <c r="W44" s="35"/>
      <c r="X44" s="87"/>
      <c r="Y44" s="109"/>
      <c r="Z44" s="87"/>
      <c r="AA44" s="233">
        <v>1829653.5387982158</v>
      </c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10"/>
      <c r="BA44" s="310"/>
      <c r="BB44" s="316"/>
      <c r="BC44" s="316"/>
      <c r="BD44" s="324"/>
      <c r="BE44" s="33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34"/>
      <c r="BV44" s="334"/>
      <c r="BW44" s="334"/>
      <c r="BX44" s="334"/>
      <c r="BY44" s="243"/>
      <c r="BZ44" s="55"/>
    </row>
    <row r="45" spans="1:79" s="14" customFormat="1" ht="11.25" customHeight="1" thickTop="1" thickBot="1" x14ac:dyDescent="0.2">
      <c r="A45" s="29"/>
      <c r="B45" s="77" t="s">
        <v>102</v>
      </c>
      <c r="C45" s="33">
        <v>1031069.39</v>
      </c>
      <c r="D45" s="34">
        <v>35323</v>
      </c>
      <c r="E45" s="34">
        <v>44089</v>
      </c>
      <c r="F45" s="35">
        <v>607671.57092543843</v>
      </c>
      <c r="G45" s="38">
        <v>42773.328284831659</v>
      </c>
      <c r="H45" s="35">
        <f>F45-G45</f>
        <v>564898.24264060683</v>
      </c>
      <c r="I45" s="35">
        <f>7472727/166.386</f>
        <v>44911.993797555086</v>
      </c>
      <c r="J45" s="35">
        <f>H45-I45</f>
        <v>519986.24884305173</v>
      </c>
      <c r="K45" s="35">
        <f>7846363/166.386</f>
        <v>47157.591383890474</v>
      </c>
      <c r="L45" s="35">
        <v>0</v>
      </c>
      <c r="M45" s="35">
        <v>73156.906230091481</v>
      </c>
      <c r="N45" s="35">
        <v>39340</v>
      </c>
      <c r="O45" s="35"/>
      <c r="P45" s="35"/>
      <c r="Q45" s="35" t="s">
        <v>15</v>
      </c>
      <c r="R45" s="80">
        <f>J45-K45</f>
        <v>472828.65745916124</v>
      </c>
      <c r="S45" s="35">
        <f>8238682/166.386</f>
        <v>49515.476061687885</v>
      </c>
      <c r="T45" s="80">
        <f>R45-S45</f>
        <v>423313.18139747338</v>
      </c>
      <c r="U45" s="35">
        <f>8650616/166.386</f>
        <v>51991.249263760175</v>
      </c>
      <c r="V45" s="80">
        <f>T45-U45</f>
        <v>371321.93213371321</v>
      </c>
      <c r="W45" s="35">
        <v>54590.81</v>
      </c>
      <c r="X45" s="80">
        <f>V45-W45</f>
        <v>316731.12213371322</v>
      </c>
      <c r="Y45" s="109">
        <v>57320.35</v>
      </c>
      <c r="Z45" s="80">
        <f>X45-Y45</f>
        <v>259410.77213371321</v>
      </c>
      <c r="AA45" s="35">
        <v>60186.37</v>
      </c>
      <c r="AB45" s="394" t="s">
        <v>168</v>
      </c>
      <c r="AC45" s="394"/>
      <c r="AD45" s="394"/>
      <c r="AE45" s="394"/>
      <c r="AF45" s="361">
        <v>0</v>
      </c>
      <c r="AG45" s="361">
        <f>AD45-AF45</f>
        <v>0</v>
      </c>
      <c r="AH45" s="361"/>
      <c r="AI45" s="361">
        <v>0</v>
      </c>
      <c r="AJ45" s="361">
        <f>AG45-AI45</f>
        <v>0</v>
      </c>
      <c r="AK45" s="361"/>
      <c r="AL45" s="361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9"/>
      <c r="BA45" s="309"/>
      <c r="BB45" s="315"/>
      <c r="BC45" s="315"/>
      <c r="BD45" s="323"/>
      <c r="BE45" s="33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33"/>
      <c r="BV45" s="333"/>
      <c r="BW45" s="333"/>
      <c r="BX45" s="333"/>
      <c r="BY45" s="243" t="s">
        <v>22</v>
      </c>
      <c r="BZ45" s="55">
        <v>0.05</v>
      </c>
    </row>
    <row r="46" spans="1:79" s="14" customFormat="1" ht="10.5" customHeight="1" thickTop="1" thickBot="1" x14ac:dyDescent="0.2">
      <c r="B46" s="120"/>
      <c r="C46" s="115"/>
      <c r="D46" s="116"/>
      <c r="E46" s="116"/>
      <c r="F46" s="118"/>
      <c r="G46" s="117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4"/>
      <c r="Z46" s="118"/>
      <c r="AA46" s="108">
        <v>199224.40213371321</v>
      </c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9"/>
      <c r="BA46" s="309"/>
      <c r="BB46" s="315"/>
      <c r="BC46" s="315"/>
      <c r="BD46" s="323"/>
      <c r="BE46" s="33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33"/>
      <c r="BV46" s="333"/>
      <c r="BW46" s="333"/>
      <c r="BX46" s="333"/>
      <c r="BY46" s="119"/>
      <c r="BZ46" s="121"/>
    </row>
    <row r="47" spans="1:79" s="293" customFormat="1" ht="9.75" customHeight="1" thickTop="1" x14ac:dyDescent="0.2">
      <c r="A47" s="291"/>
      <c r="B47" s="292" t="s">
        <v>65</v>
      </c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86"/>
    </row>
    <row r="48" spans="1:79" ht="9.75" customHeight="1" thickBot="1" x14ac:dyDescent="0.2">
      <c r="A48" s="14"/>
      <c r="B48" s="122" t="s">
        <v>44</v>
      </c>
      <c r="C48" s="78">
        <v>1641884</v>
      </c>
      <c r="D48" s="128">
        <v>40379</v>
      </c>
      <c r="E48" s="57">
        <v>42205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81"/>
      <c r="S48" s="13"/>
      <c r="T48" s="89">
        <v>656753.65</v>
      </c>
      <c r="U48" s="90">
        <v>328377</v>
      </c>
      <c r="V48" s="91">
        <v>328377</v>
      </c>
      <c r="W48" s="95">
        <v>328377</v>
      </c>
      <c r="X48" s="92">
        <v>0</v>
      </c>
      <c r="Y48" s="13"/>
      <c r="Z48" s="81"/>
      <c r="AA48" s="13"/>
      <c r="AB48" s="394" t="s">
        <v>169</v>
      </c>
      <c r="AC48" s="394"/>
      <c r="AD48" s="394"/>
      <c r="AE48" s="394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302" t="s">
        <v>32</v>
      </c>
      <c r="BZ48" s="58">
        <v>0</v>
      </c>
    </row>
    <row r="49" spans="1:80" ht="8.25" customHeight="1" thickTop="1" x14ac:dyDescent="0.15">
      <c r="A49" s="235" t="s">
        <v>35</v>
      </c>
      <c r="B49" s="122" t="s">
        <v>45</v>
      </c>
      <c r="C49" s="78">
        <v>7276731.7199999997</v>
      </c>
      <c r="D49" s="128">
        <v>40745</v>
      </c>
      <c r="E49" s="57">
        <v>42572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81"/>
      <c r="S49" s="13"/>
      <c r="T49" s="89">
        <v>4366039.09</v>
      </c>
      <c r="U49" s="93">
        <v>1455346.09</v>
      </c>
      <c r="V49" s="94">
        <v>2910693</v>
      </c>
      <c r="W49" s="93">
        <v>1455346.09</v>
      </c>
      <c r="X49" s="88">
        <f>V49-W49</f>
        <v>1455346.91</v>
      </c>
      <c r="Y49" s="168">
        <v>1455346.44</v>
      </c>
      <c r="Z49" s="81">
        <v>0</v>
      </c>
      <c r="AA49" s="13"/>
      <c r="AB49" s="394" t="s">
        <v>170</v>
      </c>
      <c r="AC49" s="394"/>
      <c r="AD49" s="394"/>
      <c r="AE49" s="394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301" t="s">
        <v>32</v>
      </c>
      <c r="BZ49" s="58">
        <v>0</v>
      </c>
    </row>
    <row r="50" spans="1:80" ht="12.75" customHeight="1" thickBot="1" x14ac:dyDescent="0.2">
      <c r="A50" s="237"/>
      <c r="B50" s="122" t="s">
        <v>77</v>
      </c>
      <c r="C50" s="78">
        <v>937372.98</v>
      </c>
      <c r="D50" s="128">
        <v>42370</v>
      </c>
      <c r="E50" s="128">
        <v>46023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81"/>
      <c r="S50" s="13"/>
      <c r="T50" s="89">
        <v>4366039.09</v>
      </c>
      <c r="U50" s="93">
        <v>1455346.09</v>
      </c>
      <c r="V50" s="94">
        <v>2910693</v>
      </c>
      <c r="W50" s="93">
        <v>1455346.09</v>
      </c>
      <c r="X50" s="88">
        <v>937372.98</v>
      </c>
      <c r="Y50" s="167">
        <v>937372.98</v>
      </c>
      <c r="Z50" s="88">
        <f>X50-Y50</f>
        <v>0</v>
      </c>
      <c r="AA50" s="167"/>
      <c r="AB50" s="305"/>
      <c r="AC50" s="167"/>
      <c r="AD50" s="305"/>
      <c r="AE50" s="305"/>
      <c r="AF50" s="167"/>
      <c r="AG50" s="305"/>
      <c r="AH50" s="305"/>
      <c r="AI50" s="167"/>
      <c r="AJ50" s="305"/>
      <c r="AK50" s="167"/>
      <c r="AL50" s="305"/>
      <c r="AM50" s="167"/>
      <c r="AN50" s="305"/>
      <c r="AO50" s="167"/>
      <c r="AP50" s="305"/>
      <c r="AQ50" s="167"/>
      <c r="AR50" s="305"/>
      <c r="AS50" s="167"/>
      <c r="AT50" s="305"/>
      <c r="AU50" s="167"/>
      <c r="AV50" s="305"/>
      <c r="AW50" s="167"/>
      <c r="AX50" s="305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301" t="s">
        <v>32</v>
      </c>
      <c r="BZ50" s="58">
        <v>0</v>
      </c>
    </row>
    <row r="51" spans="1:80" ht="12" customHeight="1" x14ac:dyDescent="0.15">
      <c r="A51" s="142"/>
      <c r="B51" s="236"/>
      <c r="C51" s="199">
        <f>SUM(C5:C45)</f>
        <v>120874739.91999999</v>
      </c>
      <c r="D51" s="59"/>
      <c r="E51" s="60"/>
      <c r="F51" s="61">
        <f t="shared" ref="F51:L51" si="0">SUM(F5:F45)</f>
        <v>88691923.230582267</v>
      </c>
      <c r="G51" s="61">
        <f t="shared" si="0"/>
        <v>15339917.041509863</v>
      </c>
      <c r="H51" s="61">
        <f t="shared" si="0"/>
        <v>81064048.189072385</v>
      </c>
      <c r="I51" s="61">
        <f t="shared" si="0"/>
        <v>18671381.539562345</v>
      </c>
      <c r="J51" s="61" t="e">
        <f t="shared" si="0"/>
        <v>#REF!</v>
      </c>
      <c r="K51" s="62">
        <f t="shared" si="0"/>
        <v>18357911.420862693</v>
      </c>
      <c r="L51" s="62">
        <f t="shared" si="0"/>
        <v>866430</v>
      </c>
      <c r="M51" s="400" t="e">
        <f>+#REF!+(O5*4)+O10*2+#REF!*4</f>
        <v>#REF!</v>
      </c>
      <c r="N51" s="401"/>
      <c r="O51" s="402"/>
      <c r="P51" s="63"/>
      <c r="Q51" s="64"/>
      <c r="R51" s="96">
        <f>SUM(R5:R47)</f>
        <v>53700430.148647361</v>
      </c>
      <c r="S51" s="65">
        <f>SUM(S5:S47)</f>
        <v>17493538.615305431</v>
      </c>
      <c r="T51" s="97">
        <f>SUM(T5:T47)</f>
        <v>41405471.533341929</v>
      </c>
      <c r="U51" s="65">
        <f>SUM(U5:U47)</f>
        <v>12336732.422409998</v>
      </c>
      <c r="V51" s="101" t="e">
        <f>SUM(V6:V47)</f>
        <v>#REF!</v>
      </c>
      <c r="W51" s="148">
        <f>SUM(W6:W45)</f>
        <v>5692336.8999999994</v>
      </c>
      <c r="X51" s="294">
        <f>SUM(X6+X11+X31+X32+X43+X45)</f>
        <v>13498039.25093193</v>
      </c>
      <c r="Y51" s="161" t="e">
        <f>SUM(Y6:Y45)-Y6-Y12-#REF!</f>
        <v>#REF!</v>
      </c>
      <c r="Z51" s="295">
        <f>SUM(Z13+Z17+Z28+Z32+Z36+Z43+Z45)</f>
        <v>15233906.01093193</v>
      </c>
      <c r="AA51" s="161">
        <f>SUM(AA6:AA45)</f>
        <v>7074683.3987982161</v>
      </c>
      <c r="AB51" s="274">
        <f>SUM(AB6:AB45)</f>
        <v>16328806.310000001</v>
      </c>
      <c r="AC51" s="161">
        <f>SUM(AC6:AC45)</f>
        <v>5446192.0525000002</v>
      </c>
      <c r="AD51" s="274">
        <f>SUM(AD13:AD37)+AD48+AD49+AD50</f>
        <v>10882614.2575</v>
      </c>
      <c r="AE51" s="274">
        <f>SUM(AE13:AE50)</f>
        <v>1493788.13</v>
      </c>
      <c r="AF51" s="161">
        <f>SUM(AF6:AF45)</f>
        <v>10882614.2575</v>
      </c>
      <c r="AG51" s="274">
        <f>SUM(AG13:AG42)</f>
        <v>1493788.13</v>
      </c>
      <c r="AH51" s="274">
        <v>5285437.55</v>
      </c>
      <c r="AI51" s="161">
        <f>SUM(AI6:AI45)</f>
        <v>1493788.13</v>
      </c>
      <c r="AJ51" s="274">
        <f>SUM(AJ13:AJ42)</f>
        <v>0</v>
      </c>
      <c r="AK51" s="161">
        <f>SUM(AK6:AK45)</f>
        <v>0</v>
      </c>
      <c r="AL51" s="274">
        <f>SUM(AL13:AL42)</f>
        <v>0</v>
      </c>
      <c r="AM51" s="161">
        <f>SUM(AM6:AM45)</f>
        <v>0</v>
      </c>
      <c r="AN51" s="274">
        <f>SUM(AN13:AN42)</f>
        <v>0</v>
      </c>
      <c r="AO51" s="161">
        <f>SUM(AO6:AO45)</f>
        <v>0</v>
      </c>
      <c r="AP51" s="274">
        <f>SUM(AP13:AP42)</f>
        <v>0</v>
      </c>
      <c r="AQ51" s="161">
        <f>SUM(AQ6:AQ45)</f>
        <v>0</v>
      </c>
      <c r="AR51" s="274">
        <f>SUM(AR13:AR42)</f>
        <v>0</v>
      </c>
      <c r="AS51" s="161">
        <f>SUM(AS6:AS45)</f>
        <v>0</v>
      </c>
      <c r="AT51" s="274">
        <f>SUM(AT13:AT42)</f>
        <v>0</v>
      </c>
      <c r="AU51" s="161">
        <f>SUM(AU6:AU45)</f>
        <v>0</v>
      </c>
      <c r="AV51" s="274">
        <f>SUM(AV13:AV42)</f>
        <v>0</v>
      </c>
      <c r="AW51" s="161">
        <f>SUM(AW6:AW45)</f>
        <v>0</v>
      </c>
      <c r="AX51" s="274">
        <f>SUM(AX13:AX42)</f>
        <v>0</v>
      </c>
      <c r="AY51" s="161">
        <f>SUM(AY6:AY45)</f>
        <v>0</v>
      </c>
      <c r="AZ51" s="274">
        <f>AX51-AY51</f>
        <v>0</v>
      </c>
      <c r="BA51" s="161">
        <v>138888.66999999969</v>
      </c>
      <c r="BB51" s="274">
        <f>SUM(BB4:BB42)</f>
        <v>4456273.75</v>
      </c>
      <c r="BC51" s="161">
        <f>SUM(BC4:BC45)</f>
        <v>4456273.75</v>
      </c>
      <c r="BD51" s="274">
        <f>SUM(BD4:BD42)</f>
        <v>0</v>
      </c>
      <c r="BE51" s="274">
        <f>SUM(BE4:BE50)</f>
        <v>30016233.68</v>
      </c>
      <c r="BF51" s="161">
        <f>SUM(BF4:BF45)</f>
        <v>0</v>
      </c>
      <c r="BG51" s="274">
        <f>SUM(BG4:BG42)</f>
        <v>30016233.68</v>
      </c>
      <c r="BH51" s="161">
        <f t="shared" ref="BH51:BX51" si="1">SUM(BH4:BH50)</f>
        <v>1416894.9665625</v>
      </c>
      <c r="BI51" s="274">
        <f t="shared" si="1"/>
        <v>28599338.713437498</v>
      </c>
      <c r="BJ51" s="161">
        <f t="shared" si="1"/>
        <v>3752029.2050000001</v>
      </c>
      <c r="BK51" s="274">
        <f t="shared" si="1"/>
        <v>24847309.508437499</v>
      </c>
      <c r="BL51" s="161">
        <f t="shared" si="1"/>
        <v>3753734.1637500003</v>
      </c>
      <c r="BM51" s="274">
        <f t="shared" si="1"/>
        <v>21093575.344687499</v>
      </c>
      <c r="BN51" s="161">
        <f t="shared" si="1"/>
        <v>3753734.1637500003</v>
      </c>
      <c r="BO51" s="274">
        <f t="shared" si="1"/>
        <v>17339841.180937503</v>
      </c>
      <c r="BP51" s="161">
        <f t="shared" si="1"/>
        <v>3753734.1637500003</v>
      </c>
      <c r="BQ51" s="274">
        <f t="shared" si="1"/>
        <v>13586107.0171875</v>
      </c>
      <c r="BR51" s="161">
        <f t="shared" si="1"/>
        <v>3753734.1637500003</v>
      </c>
      <c r="BS51" s="274">
        <f t="shared" si="1"/>
        <v>9832372.8534375001</v>
      </c>
      <c r="BT51" s="161">
        <f t="shared" si="1"/>
        <v>3753734.1637500003</v>
      </c>
      <c r="BU51" s="274">
        <f t="shared" si="1"/>
        <v>6078638.6896874998</v>
      </c>
      <c r="BV51" s="161">
        <f t="shared" si="1"/>
        <v>3753734.1637500003</v>
      </c>
      <c r="BW51" s="274">
        <f t="shared" si="1"/>
        <v>2324904.5259374999</v>
      </c>
      <c r="BX51" s="161">
        <f t="shared" si="1"/>
        <v>2324904.5259374999</v>
      </c>
      <c r="BY51" s="64"/>
      <c r="BZ51" s="66"/>
    </row>
    <row r="52" spans="1:80" s="222" customFormat="1" ht="13.5" hidden="1" customHeight="1" thickBot="1" x14ac:dyDescent="0.25">
      <c r="A52" s="142"/>
      <c r="B52" s="238"/>
      <c r="C52" s="69" t="s">
        <v>0</v>
      </c>
      <c r="D52" s="20"/>
      <c r="E52" s="21"/>
      <c r="F52" s="18"/>
      <c r="G52" s="18"/>
      <c r="H52" s="18"/>
      <c r="I52" s="18"/>
      <c r="J52" s="18"/>
      <c r="K52" s="19"/>
      <c r="L52" s="19" t="s">
        <v>3</v>
      </c>
      <c r="M52" s="430" t="s">
        <v>21</v>
      </c>
      <c r="N52" s="431"/>
      <c r="O52" s="432"/>
      <c r="P52" s="16"/>
      <c r="Q52" s="17"/>
      <c r="R52" s="17"/>
      <c r="S52" s="17"/>
      <c r="T52" s="17"/>
      <c r="U52" s="26"/>
      <c r="V52" s="25"/>
      <c r="W52" s="147"/>
      <c r="X52" s="162" t="s">
        <v>85</v>
      </c>
      <c r="Y52" s="163">
        <v>2805954.67</v>
      </c>
      <c r="Z52" s="152"/>
      <c r="AA52" s="152"/>
      <c r="AB52" s="152"/>
      <c r="AC52" s="152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4"/>
      <c r="BZ52" s="79"/>
    </row>
    <row r="53" spans="1:80" ht="6" hidden="1" customHeight="1" thickBot="1" x14ac:dyDescent="0.25">
      <c r="B53" s="142"/>
      <c r="C53" s="30"/>
      <c r="D53" s="143"/>
      <c r="E53" s="143"/>
      <c r="F53" s="144"/>
      <c r="G53" s="144"/>
      <c r="H53" s="144"/>
      <c r="I53" s="144"/>
      <c r="J53" s="144"/>
      <c r="K53" s="144"/>
      <c r="L53" s="144"/>
      <c r="M53" s="145"/>
      <c r="N53" s="145"/>
      <c r="O53" s="145"/>
      <c r="P53" s="146"/>
      <c r="Q53" s="79"/>
      <c r="R53" s="147"/>
      <c r="S53" s="147"/>
      <c r="T53" s="17"/>
      <c r="U53" s="26"/>
      <c r="V53" s="25"/>
      <c r="W53" s="147"/>
      <c r="X53" s="164" t="s">
        <v>87</v>
      </c>
      <c r="Y53" s="165">
        <v>8254490</v>
      </c>
      <c r="Z53" s="155"/>
      <c r="AA53" s="155"/>
      <c r="AB53" s="155"/>
      <c r="AC53" s="155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7"/>
      <c r="BZ53" s="79"/>
    </row>
    <row r="54" spans="1:80" s="174" customFormat="1" ht="9.75" customHeight="1" thickBot="1" x14ac:dyDescent="0.25">
      <c r="A54" s="216"/>
      <c r="B54" s="142"/>
      <c r="C54" s="30"/>
      <c r="D54" s="143"/>
      <c r="E54" s="143"/>
      <c r="F54" s="144"/>
      <c r="G54" s="144"/>
      <c r="H54" s="144"/>
      <c r="I54" s="144"/>
      <c r="J54" s="144"/>
      <c r="K54" s="144"/>
      <c r="L54" s="144"/>
      <c r="M54" s="145"/>
      <c r="N54" s="145"/>
      <c r="O54" s="145"/>
      <c r="P54" s="146"/>
      <c r="Q54" s="79"/>
      <c r="R54" s="147"/>
      <c r="S54" s="147"/>
      <c r="T54" s="17"/>
      <c r="U54" s="26"/>
      <c r="V54" s="25"/>
      <c r="W54" s="147"/>
      <c r="X54" s="164" t="s">
        <v>86</v>
      </c>
      <c r="Y54" s="165">
        <v>1828415.61</v>
      </c>
      <c r="Z54" s="155"/>
      <c r="AA54" s="155"/>
      <c r="AB54" s="155"/>
      <c r="AC54" s="155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7"/>
      <c r="BZ54" s="79"/>
    </row>
    <row r="55" spans="1:80" s="174" customFormat="1" ht="18.75" customHeight="1" thickBot="1" x14ac:dyDescent="0.2">
      <c r="A55" s="24"/>
      <c r="B55" s="4"/>
      <c r="C55" s="67"/>
      <c r="D55" s="5"/>
      <c r="E55" s="5"/>
      <c r="F55" s="6"/>
      <c r="G55" s="6"/>
      <c r="H55" s="6"/>
      <c r="I55" s="6"/>
      <c r="J55" s="6"/>
      <c r="K55" s="6"/>
      <c r="L55" s="6"/>
      <c r="M55" s="8"/>
      <c r="N55" s="7"/>
      <c r="O55" s="23"/>
      <c r="P55" s="4"/>
      <c r="Q55" s="1"/>
      <c r="R55" s="82">
        <v>2013</v>
      </c>
      <c r="S55" s="85">
        <v>2013</v>
      </c>
      <c r="T55" s="98">
        <v>2014</v>
      </c>
      <c r="U55" s="86">
        <v>2014</v>
      </c>
      <c r="V55" s="98">
        <v>2015</v>
      </c>
      <c r="W55" s="86">
        <v>2015</v>
      </c>
      <c r="X55" s="19">
        <v>2016</v>
      </c>
      <c r="Y55" s="149">
        <v>2016</v>
      </c>
      <c r="Z55" s="19">
        <v>2017</v>
      </c>
      <c r="AA55" s="150">
        <v>2017</v>
      </c>
      <c r="AB55" s="407">
        <v>2018</v>
      </c>
      <c r="AC55" s="408"/>
      <c r="AD55" s="407">
        <v>2019</v>
      </c>
      <c r="AE55" s="423"/>
      <c r="AF55" s="408"/>
      <c r="AG55" s="407">
        <v>2020</v>
      </c>
      <c r="AH55" s="423"/>
      <c r="AI55" s="408"/>
      <c r="AJ55" s="407">
        <v>2021</v>
      </c>
      <c r="AK55" s="408"/>
      <c r="AL55" s="407">
        <v>2022</v>
      </c>
      <c r="AM55" s="408"/>
      <c r="AN55" s="407">
        <v>2023</v>
      </c>
      <c r="AO55" s="408"/>
      <c r="AP55" s="407">
        <v>2024</v>
      </c>
      <c r="AQ55" s="408"/>
      <c r="AR55" s="407">
        <v>2025</v>
      </c>
      <c r="AS55" s="408"/>
      <c r="AT55" s="407">
        <v>2026</v>
      </c>
      <c r="AU55" s="408"/>
      <c r="AV55" s="407">
        <v>2027</v>
      </c>
      <c r="AW55" s="408"/>
      <c r="AX55" s="407">
        <v>2028</v>
      </c>
      <c r="AY55" s="408"/>
      <c r="AZ55" s="407">
        <v>2029</v>
      </c>
      <c r="BA55" s="408"/>
      <c r="BB55" s="407">
        <v>2021</v>
      </c>
      <c r="BC55" s="408"/>
      <c r="BD55" s="407">
        <v>2022</v>
      </c>
      <c r="BE55" s="423"/>
      <c r="BF55" s="408"/>
      <c r="BG55" s="407">
        <v>2023</v>
      </c>
      <c r="BH55" s="408"/>
      <c r="BI55" s="407">
        <v>2024</v>
      </c>
      <c r="BJ55" s="408"/>
      <c r="BK55" s="407">
        <v>2025</v>
      </c>
      <c r="BL55" s="408"/>
      <c r="BM55" s="407">
        <v>2026</v>
      </c>
      <c r="BN55" s="408"/>
      <c r="BO55" s="407">
        <v>2027</v>
      </c>
      <c r="BP55" s="408"/>
      <c r="BQ55" s="407">
        <v>2028</v>
      </c>
      <c r="BR55" s="408"/>
      <c r="BS55" s="407">
        <v>2029</v>
      </c>
      <c r="BT55" s="408"/>
      <c r="BU55" s="407">
        <v>2030</v>
      </c>
      <c r="BV55" s="408"/>
      <c r="BW55" s="407">
        <v>2031</v>
      </c>
      <c r="BX55" s="408"/>
      <c r="BY55" s="151">
        <v>2017</v>
      </c>
      <c r="BZ55" s="15"/>
    </row>
    <row r="56" spans="1:80" ht="20.25" customHeight="1" x14ac:dyDescent="0.15">
      <c r="A56" s="171"/>
      <c r="B56" s="227" t="s">
        <v>96</v>
      </c>
      <c r="C56" s="217"/>
      <c r="D56" s="218"/>
      <c r="E56" s="219"/>
      <c r="F56" s="219"/>
      <c r="G56" s="219"/>
      <c r="H56" s="219"/>
      <c r="I56" s="219"/>
      <c r="J56" s="219"/>
      <c r="K56" s="219"/>
      <c r="L56" s="220"/>
      <c r="M56" s="221"/>
      <c r="N56" s="220"/>
      <c r="O56" s="222"/>
      <c r="P56" s="222"/>
      <c r="Q56" s="223"/>
      <c r="R56" s="223"/>
      <c r="S56" s="223"/>
      <c r="T56" s="224">
        <f>SUM(T5:T49)</f>
        <v>46428264.273341924</v>
      </c>
      <c r="U56" s="223"/>
      <c r="V56" s="224" t="e">
        <f>SUM(V5:V49)</f>
        <v>#REF!</v>
      </c>
      <c r="W56" s="223"/>
      <c r="X56" s="225">
        <f>SUM(X49:X51)</f>
        <v>15890759.14093193</v>
      </c>
      <c r="Y56" s="226" t="e">
        <f>SUM(Y49:Y51)</f>
        <v>#REF!</v>
      </c>
      <c r="Z56" s="225">
        <f>SUM(Z49:Z51)</f>
        <v>15233906.01093193</v>
      </c>
      <c r="AA56" s="226">
        <f>SUM(AA6:AA50)</f>
        <v>7273907.8009319296</v>
      </c>
      <c r="AB56" s="224">
        <f>SUM(AB5:AB50)</f>
        <v>16328806.310000001</v>
      </c>
      <c r="AC56" s="226">
        <f>SUM(AC6:AC50)</f>
        <v>5446192.0525000002</v>
      </c>
      <c r="AD56" s="224">
        <f>AD51</f>
        <v>10882614.2575</v>
      </c>
      <c r="AE56" s="224"/>
      <c r="AF56" s="226">
        <f>SUM(AF6:AF50)</f>
        <v>10882614.2575</v>
      </c>
      <c r="AG56" s="224">
        <f>AG51+AH51</f>
        <v>6779225.6799999997</v>
      </c>
      <c r="AH56" s="224"/>
      <c r="AI56" s="226">
        <f>SUM(AI6:AI50)</f>
        <v>1493788.13</v>
      </c>
      <c r="AJ56" s="224">
        <f>AJ51</f>
        <v>0</v>
      </c>
      <c r="AK56" s="226">
        <f>SUM(AK6:AK50)</f>
        <v>0</v>
      </c>
      <c r="AL56" s="224">
        <f>AL51</f>
        <v>0</v>
      </c>
      <c r="AM56" s="226">
        <f>SUM(AM6:AM50)</f>
        <v>0</v>
      </c>
      <c r="AN56" s="224">
        <f>AN51</f>
        <v>0</v>
      </c>
      <c r="AO56" s="226">
        <f>SUM(AO6:AO50)</f>
        <v>0</v>
      </c>
      <c r="AP56" s="224">
        <f>AP51</f>
        <v>0</v>
      </c>
      <c r="AQ56" s="226">
        <f>SUM(AQ6:AQ50)</f>
        <v>0</v>
      </c>
      <c r="AR56" s="224">
        <f>AR51</f>
        <v>0</v>
      </c>
      <c r="AS56" s="226">
        <f>SUM(AS6:AS50)</f>
        <v>0</v>
      </c>
      <c r="AT56" s="224">
        <f>AT51</f>
        <v>0</v>
      </c>
      <c r="AU56" s="226">
        <f>SUM(AU6:AU50)</f>
        <v>0</v>
      </c>
      <c r="AV56" s="224">
        <f>AV51</f>
        <v>0</v>
      </c>
      <c r="AW56" s="226">
        <f>SUM(AW6:AW50)</f>
        <v>0</v>
      </c>
      <c r="AX56" s="224">
        <f>AX51</f>
        <v>0</v>
      </c>
      <c r="AY56" s="226">
        <f>SUM(AY6:AY50)</f>
        <v>0</v>
      </c>
      <c r="AZ56" s="224">
        <f>AX56-AY56</f>
        <v>0</v>
      </c>
      <c r="BA56" s="312">
        <v>138888.67000000001</v>
      </c>
      <c r="BB56" s="224">
        <f>BB51</f>
        <v>4456273.75</v>
      </c>
      <c r="BC56" s="226">
        <f>SUM(BC4:BC50)</f>
        <v>4456273.75</v>
      </c>
      <c r="BD56" s="224">
        <f>BD51</f>
        <v>0</v>
      </c>
      <c r="BE56" s="224">
        <f>BE51</f>
        <v>30016233.68</v>
      </c>
      <c r="BF56" s="226">
        <f>SUM(BF4:BF50)</f>
        <v>0</v>
      </c>
      <c r="BG56" s="224">
        <f t="shared" ref="BG56" si="2">BG51</f>
        <v>30016233.68</v>
      </c>
      <c r="BH56" s="226">
        <f>SUM(BH4:BH50)</f>
        <v>1416894.9665625</v>
      </c>
      <c r="BI56" s="224">
        <f t="shared" ref="BI56" si="3">BI51</f>
        <v>28599338.713437498</v>
      </c>
      <c r="BJ56" s="226">
        <f>SUM(BJ4:BJ50)</f>
        <v>3752029.2050000001</v>
      </c>
      <c r="BK56" s="224">
        <f t="shared" ref="BK56" si="4">BK51</f>
        <v>24847309.508437499</v>
      </c>
      <c r="BL56" s="226">
        <f>SUM(BL4:BL50)</f>
        <v>3753734.1637500003</v>
      </c>
      <c r="BM56" s="224">
        <f t="shared" ref="BM56" si="5">BM51</f>
        <v>21093575.344687499</v>
      </c>
      <c r="BN56" s="226">
        <f>SUM(BN4:BN50)</f>
        <v>3753734.1637500003</v>
      </c>
      <c r="BO56" s="224">
        <f t="shared" ref="BO56" si="6">BO51</f>
        <v>17339841.180937503</v>
      </c>
      <c r="BP56" s="226">
        <f>SUM(BP4:BP50)</f>
        <v>3753734.1637500003</v>
      </c>
      <c r="BQ56" s="224">
        <f t="shared" ref="BQ56" si="7">BQ51</f>
        <v>13586107.0171875</v>
      </c>
      <c r="BR56" s="226">
        <f>SUM(BR4:BR50)</f>
        <v>3753734.1637500003</v>
      </c>
      <c r="BS56" s="224">
        <f t="shared" ref="BS56:BU56" si="8">BS51</f>
        <v>9832372.8534375001</v>
      </c>
      <c r="BT56" s="226">
        <f>SUM(BT4:BT50)</f>
        <v>3753734.1637500003</v>
      </c>
      <c r="BU56" s="224">
        <f t="shared" si="8"/>
        <v>6078638.6896874998</v>
      </c>
      <c r="BV56" s="226">
        <f>SUM(BV4:BV50)</f>
        <v>3753734.1637500003</v>
      </c>
      <c r="BW56" s="224">
        <f t="shared" ref="BW56" si="9">BW51</f>
        <v>2324904.5259374999</v>
      </c>
      <c r="BX56" s="226">
        <f>SUM(BX4:BX50)</f>
        <v>2324904.5259374999</v>
      </c>
      <c r="BY56" s="222"/>
      <c r="BZ56" s="223"/>
    </row>
    <row r="57" spans="1:80" ht="13.5" customHeight="1" x14ac:dyDescent="0.15">
      <c r="A57" s="171"/>
      <c r="B57" s="399" t="s">
        <v>66</v>
      </c>
      <c r="C57" s="399"/>
      <c r="D57" s="399"/>
      <c r="E57" s="399"/>
      <c r="F57" s="11"/>
      <c r="G57" s="11"/>
      <c r="H57" s="11"/>
      <c r="I57" s="11"/>
      <c r="J57" s="11"/>
      <c r="K57" s="11"/>
      <c r="L57" s="9"/>
      <c r="M57" s="12"/>
      <c r="N57" s="9"/>
      <c r="W57" s="27" t="s">
        <v>39</v>
      </c>
      <c r="X57" s="28" t="s">
        <v>67</v>
      </c>
      <c r="Z57" s="28">
        <f>+Z51-BY51</f>
        <v>15233906.01093193</v>
      </c>
      <c r="AB57" s="28">
        <f>+AB51-CA47</f>
        <v>16328806.310000001</v>
      </c>
      <c r="AD57" s="28">
        <f>+AD51-CC47</f>
        <v>10882614.2575</v>
      </c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</row>
    <row r="58" spans="1:80" ht="21" customHeight="1" x14ac:dyDescent="0.15">
      <c r="A58" s="24"/>
      <c r="B58" s="398" t="s">
        <v>67</v>
      </c>
      <c r="C58" s="398"/>
      <c r="D58" s="398"/>
      <c r="E58" s="398"/>
      <c r="F58" s="166"/>
      <c r="G58" s="166"/>
      <c r="H58" s="166"/>
      <c r="I58" s="166"/>
      <c r="J58" s="166"/>
      <c r="K58" s="166"/>
      <c r="L58" s="172"/>
      <c r="M58" s="173"/>
      <c r="N58" s="172"/>
      <c r="O58" s="174"/>
      <c r="P58" s="174"/>
      <c r="Q58" s="175"/>
      <c r="R58" s="175"/>
      <c r="S58" s="175"/>
      <c r="T58" s="175"/>
      <c r="U58" s="175"/>
      <c r="V58" s="175"/>
      <c r="W58" s="176"/>
      <c r="X58" s="177"/>
      <c r="Y58" s="231" t="s">
        <v>98</v>
      </c>
      <c r="Z58" s="228" t="s">
        <v>118</v>
      </c>
      <c r="AA58" s="231" t="s">
        <v>99</v>
      </c>
      <c r="AC58" s="231" t="s">
        <v>122</v>
      </c>
      <c r="AD58" s="314"/>
      <c r="AE58" s="177"/>
      <c r="AF58" s="231" t="s">
        <v>123</v>
      </c>
      <c r="AG58" s="177"/>
      <c r="AH58" s="177"/>
      <c r="AI58" s="231" t="s">
        <v>124</v>
      </c>
      <c r="AJ58" s="177"/>
      <c r="AK58" s="231" t="s">
        <v>125</v>
      </c>
      <c r="AL58" s="177"/>
      <c r="AM58" s="231" t="s">
        <v>124</v>
      </c>
      <c r="AN58" s="177"/>
      <c r="AO58" s="231" t="s">
        <v>124</v>
      </c>
      <c r="AP58" s="177"/>
      <c r="AQ58" s="231" t="s">
        <v>124</v>
      </c>
      <c r="AR58" s="177"/>
      <c r="AS58" s="231" t="s">
        <v>124</v>
      </c>
      <c r="AT58" s="177"/>
      <c r="AU58" s="231" t="s">
        <v>124</v>
      </c>
      <c r="AV58" s="177"/>
      <c r="AW58" s="231" t="s">
        <v>124</v>
      </c>
      <c r="AX58" s="177"/>
      <c r="AY58" s="231" t="s">
        <v>124</v>
      </c>
      <c r="AZ58" s="231"/>
      <c r="BA58" s="231" t="s">
        <v>142</v>
      </c>
      <c r="BB58" s="273"/>
      <c r="BC58" s="365" t="s">
        <v>125</v>
      </c>
      <c r="BD58" s="273"/>
      <c r="BE58" s="273"/>
      <c r="BF58" s="365" t="s">
        <v>154</v>
      </c>
      <c r="BG58" s="273"/>
      <c r="BH58" s="365" t="s">
        <v>174</v>
      </c>
      <c r="BI58" s="273"/>
      <c r="BJ58" s="231" t="s">
        <v>175</v>
      </c>
      <c r="BK58" s="273"/>
      <c r="BL58" s="365" t="s">
        <v>176</v>
      </c>
      <c r="BM58" s="273"/>
      <c r="BN58" s="365" t="s">
        <v>177</v>
      </c>
      <c r="BO58" s="273"/>
      <c r="BP58" s="365" t="s">
        <v>178</v>
      </c>
      <c r="BQ58" s="273"/>
      <c r="BR58" s="365" t="s">
        <v>179</v>
      </c>
      <c r="BS58" s="273"/>
      <c r="BT58" s="365" t="s">
        <v>180</v>
      </c>
      <c r="BU58" s="273"/>
      <c r="BV58" s="365" t="s">
        <v>181</v>
      </c>
      <c r="BW58" s="273"/>
      <c r="BX58" s="231" t="s">
        <v>182</v>
      </c>
      <c r="BY58" s="273"/>
      <c r="BZ58" s="273"/>
      <c r="CA58" s="174"/>
      <c r="CB58" s="175"/>
    </row>
    <row r="59" spans="1:80" ht="27" x14ac:dyDescent="0.2">
      <c r="A59" s="24"/>
      <c r="B59" s="395" t="s">
        <v>183</v>
      </c>
      <c r="C59" s="395"/>
      <c r="D59" s="395"/>
      <c r="E59" s="395"/>
      <c r="F59" s="166"/>
      <c r="G59" s="166"/>
      <c r="H59" s="166"/>
      <c r="I59" s="166"/>
      <c r="J59" s="166"/>
      <c r="K59" s="166"/>
      <c r="L59" s="172"/>
      <c r="M59" s="173"/>
      <c r="N59" s="172"/>
      <c r="O59" s="174"/>
      <c r="P59" s="174"/>
      <c r="Q59" s="175"/>
      <c r="R59" s="175"/>
      <c r="S59" s="175"/>
      <c r="T59" s="175"/>
      <c r="U59" s="175"/>
      <c r="V59" s="175"/>
      <c r="W59" s="175"/>
      <c r="X59" s="175"/>
      <c r="Y59" s="285" t="e">
        <f>Y70/#REF!</f>
        <v>#REF!</v>
      </c>
      <c r="Z59" s="283">
        <v>13927765.460000001</v>
      </c>
      <c r="AA59" s="285">
        <f>Z59/Z74</f>
        <v>7.4296997709651924E-2</v>
      </c>
      <c r="AC59" s="285">
        <f>AD56/Z74</f>
        <v>5.8052784481948255E-2</v>
      </c>
      <c r="AD59" s="156"/>
      <c r="AE59" s="156"/>
      <c r="AF59" s="285">
        <f>AG56/Z74</f>
        <v>3.6163454666630603E-2</v>
      </c>
      <c r="AG59" s="229"/>
      <c r="AH59" s="229"/>
      <c r="AI59" s="332" t="e">
        <f>AG56/#REF!</f>
        <v>#REF!</v>
      </c>
      <c r="AJ59" s="284"/>
      <c r="AK59" s="285">
        <f>AL56/Z74</f>
        <v>0</v>
      </c>
      <c r="AL59" s="175"/>
      <c r="AM59" s="285">
        <f>BY56/AD74</f>
        <v>0</v>
      </c>
      <c r="AN59" s="175"/>
      <c r="AO59" s="285" t="e">
        <f>CA56/#REF!</f>
        <v>#REF!</v>
      </c>
      <c r="AP59" s="175"/>
      <c r="AQ59" s="285">
        <f>CC56/AI74</f>
        <v>0</v>
      </c>
      <c r="AR59" s="175"/>
      <c r="AS59" s="285" t="e">
        <f>CE56/AK74</f>
        <v>#DIV/0!</v>
      </c>
      <c r="AT59" s="175"/>
      <c r="AU59" s="285" t="e">
        <f>CG56/AM74</f>
        <v>#DIV/0!</v>
      </c>
      <c r="AV59" s="175"/>
      <c r="AW59" s="285" t="e">
        <f>CG56/AM74</f>
        <v>#DIV/0!</v>
      </c>
      <c r="AX59" s="175"/>
      <c r="AY59" s="285" t="e">
        <f>CI56/AO74</f>
        <v>#DIV/0!</v>
      </c>
      <c r="AZ59" s="313"/>
      <c r="BA59" s="313">
        <v>0</v>
      </c>
      <c r="BB59" s="284"/>
      <c r="BC59" s="332">
        <f>BB56/BE59</f>
        <v>2.8014739101300517E-2</v>
      </c>
      <c r="BD59" s="284" t="s">
        <v>173</v>
      </c>
      <c r="BE59" s="364">
        <v>159068900.62</v>
      </c>
      <c r="BF59" s="332">
        <f>BE51/BE59</f>
        <v>0.18869957334844376</v>
      </c>
      <c r="BG59" s="284"/>
      <c r="BH59" s="332">
        <f>BI51/BE59</f>
        <v>0.17979214417127651</v>
      </c>
      <c r="BI59" s="284"/>
      <c r="BJ59" s="332">
        <f>BK56/BE59</f>
        <v>0.15620469753415397</v>
      </c>
      <c r="BK59" s="284"/>
      <c r="BL59" s="332">
        <f>BM56/BE59</f>
        <v>0.13260653253069235</v>
      </c>
      <c r="BM59" s="284"/>
      <c r="BN59" s="332">
        <f>BO56/BE59</f>
        <v>0.10900836752723074</v>
      </c>
      <c r="BO59" s="284"/>
      <c r="BP59" s="332">
        <f>BQ56/BE59</f>
        <v>8.5410202523769102E-2</v>
      </c>
      <c r="BQ59" s="284"/>
      <c r="BR59" s="332">
        <f>BS56/BE59</f>
        <v>6.1812037520307471E-2</v>
      </c>
      <c r="BS59" s="284"/>
      <c r="BT59" s="332">
        <f>BU56/BE59</f>
        <v>3.8213872516845833E-2</v>
      </c>
      <c r="BU59" s="284"/>
      <c r="BV59" s="332">
        <f>BW56/BE59</f>
        <v>1.4615707513384207E-2</v>
      </c>
      <c r="BW59" s="284"/>
      <c r="BX59" s="332">
        <f>BY56/BE59</f>
        <v>0</v>
      </c>
      <c r="BY59" s="174"/>
      <c r="BZ59" s="175"/>
    </row>
    <row r="60" spans="1:80" s="114" customFormat="1" ht="11.25" x14ac:dyDescent="0.2">
      <c r="A60" s="366"/>
      <c r="B60" s="367"/>
      <c r="C60" s="367"/>
      <c r="D60" s="367"/>
      <c r="E60" s="367"/>
      <c r="F60" s="368"/>
      <c r="G60" s="368"/>
      <c r="H60" s="368"/>
      <c r="I60" s="368"/>
      <c r="J60" s="368"/>
      <c r="K60" s="368"/>
      <c r="L60" s="369"/>
      <c r="M60" s="370"/>
      <c r="N60" s="369"/>
      <c r="O60" s="371"/>
      <c r="P60" s="371"/>
      <c r="Q60" s="372"/>
      <c r="R60" s="372"/>
      <c r="S60" s="372"/>
      <c r="T60" s="372"/>
      <c r="U60" s="372"/>
      <c r="V60" s="372"/>
      <c r="W60" s="372"/>
      <c r="X60" s="372"/>
      <c r="Y60" s="284"/>
      <c r="Z60" s="373"/>
      <c r="AA60" s="284"/>
      <c r="AB60" s="125"/>
      <c r="AC60" s="284"/>
      <c r="AD60" s="374"/>
      <c r="AE60" s="374"/>
      <c r="AF60" s="284"/>
      <c r="AG60" s="363"/>
      <c r="AH60" s="363"/>
      <c r="AI60" s="375"/>
      <c r="AJ60" s="284"/>
      <c r="AK60" s="284"/>
      <c r="AL60" s="372"/>
      <c r="AM60" s="284"/>
      <c r="AN60" s="372"/>
      <c r="AO60" s="284"/>
      <c r="AP60" s="372"/>
      <c r="AQ60" s="284"/>
      <c r="AR60" s="372"/>
      <c r="AS60" s="284"/>
      <c r="AT60" s="372"/>
      <c r="AU60" s="284"/>
      <c r="AV60" s="372"/>
      <c r="AW60" s="284"/>
      <c r="AX60" s="372"/>
      <c r="AY60" s="284"/>
      <c r="AZ60" s="284"/>
      <c r="BA60" s="284"/>
      <c r="BB60" s="284"/>
      <c r="BC60" s="375"/>
      <c r="BD60" s="284"/>
      <c r="BE60" s="364"/>
      <c r="BF60" s="375"/>
      <c r="BG60" s="284"/>
      <c r="BH60" s="375"/>
      <c r="BI60" s="284"/>
      <c r="BJ60" s="375"/>
      <c r="BK60" s="284"/>
      <c r="BL60" s="375"/>
      <c r="BM60" s="284"/>
      <c r="BN60" s="375"/>
      <c r="BO60" s="284"/>
      <c r="BP60" s="375"/>
      <c r="BQ60" s="284"/>
      <c r="BR60" s="375"/>
      <c r="BS60" s="284"/>
      <c r="BT60" s="375"/>
      <c r="BU60" s="284"/>
      <c r="BV60" s="375"/>
      <c r="BW60" s="284"/>
      <c r="BX60" s="375"/>
      <c r="BY60" s="371"/>
      <c r="BZ60" s="372"/>
    </row>
    <row r="61" spans="1:80" s="114" customFormat="1" ht="11.25" x14ac:dyDescent="0.2">
      <c r="A61" s="366"/>
      <c r="B61" s="367"/>
      <c r="C61" s="367"/>
      <c r="D61" s="367"/>
      <c r="E61" s="367"/>
      <c r="F61" s="368"/>
      <c r="G61" s="368"/>
      <c r="H61" s="368"/>
      <c r="I61" s="368"/>
      <c r="J61" s="368"/>
      <c r="K61" s="368"/>
      <c r="L61" s="369"/>
      <c r="M61" s="370"/>
      <c r="N61" s="369"/>
      <c r="O61" s="371"/>
      <c r="P61" s="371"/>
      <c r="Q61" s="372"/>
      <c r="R61" s="372"/>
      <c r="S61" s="372"/>
      <c r="T61" s="372"/>
      <c r="U61" s="372"/>
      <c r="V61" s="372"/>
      <c r="W61" s="372"/>
      <c r="X61" s="372"/>
      <c r="Y61" s="284"/>
      <c r="Z61" s="373"/>
      <c r="AA61" s="284"/>
      <c r="AB61" s="125"/>
      <c r="AC61" s="284"/>
      <c r="AD61" s="374"/>
      <c r="AE61" s="374"/>
      <c r="AF61" s="284"/>
      <c r="AG61" s="363"/>
      <c r="AH61" s="363"/>
      <c r="AI61" s="375"/>
      <c r="AJ61" s="284"/>
      <c r="AK61" s="284"/>
      <c r="AL61" s="372"/>
      <c r="AM61" s="284"/>
      <c r="AN61" s="372"/>
      <c r="AO61" s="284"/>
      <c r="AP61" s="372"/>
      <c r="AQ61" s="284"/>
      <c r="AR61" s="372"/>
      <c r="AS61" s="284"/>
      <c r="AT61" s="372"/>
      <c r="AU61" s="284"/>
      <c r="AV61" s="372"/>
      <c r="AW61" s="284"/>
      <c r="AX61" s="372"/>
      <c r="AY61" s="284"/>
      <c r="AZ61" s="284"/>
      <c r="BA61" s="284"/>
      <c r="BB61" s="284"/>
      <c r="BC61" s="375"/>
      <c r="BD61" s="284"/>
      <c r="BE61" s="364"/>
      <c r="BF61" s="375"/>
      <c r="BG61" s="284"/>
      <c r="BH61" s="375"/>
      <c r="BI61" s="284"/>
      <c r="BJ61" s="375"/>
      <c r="BK61" s="284"/>
      <c r="BL61" s="375"/>
      <c r="BM61" s="284"/>
      <c r="BN61" s="375"/>
      <c r="BO61" s="284"/>
      <c r="BP61" s="375"/>
      <c r="BQ61" s="284"/>
      <c r="BR61" s="375"/>
      <c r="BS61" s="284"/>
      <c r="BT61" s="375"/>
      <c r="BU61" s="284"/>
      <c r="BV61" s="375"/>
      <c r="BW61" s="284"/>
      <c r="BX61" s="375"/>
      <c r="BY61" s="371"/>
      <c r="BZ61" s="372"/>
    </row>
    <row r="62" spans="1:80" s="114" customFormat="1" ht="11.25" x14ac:dyDescent="0.2">
      <c r="A62" s="366"/>
      <c r="B62" s="367"/>
      <c r="C62" s="367"/>
      <c r="D62" s="367"/>
      <c r="E62" s="367"/>
      <c r="F62" s="368"/>
      <c r="G62" s="368"/>
      <c r="H62" s="368"/>
      <c r="I62" s="368"/>
      <c r="J62" s="368"/>
      <c r="K62" s="368"/>
      <c r="L62" s="369"/>
      <c r="M62" s="370"/>
      <c r="N62" s="369"/>
      <c r="O62" s="371"/>
      <c r="P62" s="371"/>
      <c r="Q62" s="372"/>
      <c r="R62" s="372"/>
      <c r="S62" s="372"/>
      <c r="T62" s="372"/>
      <c r="U62" s="372"/>
      <c r="V62" s="372"/>
      <c r="W62" s="372"/>
      <c r="X62" s="372"/>
      <c r="Y62" s="284"/>
      <c r="Z62" s="373"/>
      <c r="AA62" s="284"/>
      <c r="AB62" s="125"/>
      <c r="AC62" s="284"/>
      <c r="AD62" s="374"/>
      <c r="AE62" s="374"/>
      <c r="AF62" s="284"/>
      <c r="AG62" s="363"/>
      <c r="AH62" s="363"/>
      <c r="AI62" s="375"/>
      <c r="AJ62" s="284"/>
      <c r="AK62" s="284"/>
      <c r="AL62" s="372"/>
      <c r="AM62" s="284"/>
      <c r="AN62" s="372"/>
      <c r="AO62" s="284"/>
      <c r="AP62" s="372"/>
      <c r="AQ62" s="284"/>
      <c r="AR62" s="372"/>
      <c r="AS62" s="284"/>
      <c r="AT62" s="372"/>
      <c r="AU62" s="284"/>
      <c r="AV62" s="372"/>
      <c r="AW62" s="284"/>
      <c r="AX62" s="372"/>
      <c r="AY62" s="284"/>
      <c r="AZ62" s="284"/>
      <c r="BA62" s="284"/>
      <c r="BB62" s="284"/>
      <c r="BC62" s="375"/>
      <c r="BD62" s="284"/>
      <c r="BE62" s="364"/>
      <c r="BF62" s="375"/>
      <c r="BG62" s="284"/>
      <c r="BH62" s="375"/>
      <c r="BI62" s="284"/>
      <c r="BJ62" s="375"/>
      <c r="BK62" s="284"/>
      <c r="BL62" s="375"/>
      <c r="BM62" s="284"/>
      <c r="BN62" s="375"/>
      <c r="BO62" s="284"/>
      <c r="BP62" s="375"/>
      <c r="BQ62" s="284"/>
      <c r="BR62" s="375"/>
      <c r="BS62" s="284"/>
      <c r="BT62" s="375"/>
      <c r="BU62" s="284"/>
      <c r="BV62" s="375"/>
      <c r="BW62" s="284"/>
      <c r="BX62" s="375"/>
      <c r="BY62" s="371"/>
      <c r="BZ62" s="372"/>
    </row>
    <row r="63" spans="1:80" s="114" customFormat="1" ht="11.25" x14ac:dyDescent="0.2">
      <c r="A63" s="366"/>
      <c r="B63" s="367"/>
      <c r="C63" s="367"/>
      <c r="D63" s="367"/>
      <c r="E63" s="367"/>
      <c r="F63" s="368"/>
      <c r="G63" s="368"/>
      <c r="H63" s="368"/>
      <c r="I63" s="368"/>
      <c r="J63" s="368"/>
      <c r="K63" s="368"/>
      <c r="L63" s="369"/>
      <c r="M63" s="370"/>
      <c r="N63" s="369"/>
      <c r="O63" s="371"/>
      <c r="P63" s="371"/>
      <c r="Q63" s="372"/>
      <c r="R63" s="372"/>
      <c r="S63" s="372"/>
      <c r="T63" s="372"/>
      <c r="U63" s="372"/>
      <c r="V63" s="372"/>
      <c r="W63" s="372"/>
      <c r="X63" s="372"/>
      <c r="Y63" s="284"/>
      <c r="Z63" s="373"/>
      <c r="AA63" s="284"/>
      <c r="AB63" s="125"/>
      <c r="AC63" s="284"/>
      <c r="AD63" s="374"/>
      <c r="AE63" s="374"/>
      <c r="AF63" s="284"/>
      <c r="AG63" s="363"/>
      <c r="AH63" s="363"/>
      <c r="AI63" s="375"/>
      <c r="AJ63" s="284"/>
      <c r="AK63" s="284"/>
      <c r="AL63" s="372"/>
      <c r="AM63" s="284"/>
      <c r="AN63" s="372"/>
      <c r="AO63" s="284"/>
      <c r="AP63" s="372"/>
      <c r="AQ63" s="284"/>
      <c r="AR63" s="372"/>
      <c r="AS63" s="284"/>
      <c r="AT63" s="372"/>
      <c r="AU63" s="284"/>
      <c r="AV63" s="372"/>
      <c r="AW63" s="284"/>
      <c r="AX63" s="372"/>
      <c r="AY63" s="284"/>
      <c r="AZ63" s="284"/>
      <c r="BA63" s="284"/>
      <c r="BB63" s="284"/>
      <c r="BC63" s="375"/>
      <c r="BD63" s="284"/>
      <c r="BE63" s="364"/>
      <c r="BF63" s="375"/>
      <c r="BG63" s="284"/>
      <c r="BH63" s="375"/>
      <c r="BI63" s="284"/>
      <c r="BJ63" s="375"/>
      <c r="BK63" s="284"/>
      <c r="BL63" s="375"/>
      <c r="BM63" s="284"/>
      <c r="BN63" s="375"/>
      <c r="BO63" s="284"/>
      <c r="BP63" s="375"/>
      <c r="BQ63" s="284"/>
      <c r="BR63" s="375"/>
      <c r="BS63" s="284"/>
      <c r="BT63" s="375"/>
      <c r="BU63" s="284"/>
      <c r="BV63" s="375"/>
      <c r="BW63" s="284"/>
      <c r="BX63" s="375"/>
      <c r="BY63" s="371"/>
      <c r="BZ63" s="372"/>
    </row>
    <row r="64" spans="1:80" s="114" customFormat="1" ht="11.25" x14ac:dyDescent="0.2">
      <c r="A64" s="366"/>
      <c r="B64" s="367"/>
      <c r="C64" s="367"/>
      <c r="D64" s="367"/>
      <c r="E64" s="367"/>
      <c r="F64" s="368"/>
      <c r="G64" s="368"/>
      <c r="H64" s="368"/>
      <c r="I64" s="368"/>
      <c r="J64" s="368"/>
      <c r="K64" s="368"/>
      <c r="L64" s="369"/>
      <c r="M64" s="370"/>
      <c r="N64" s="369"/>
      <c r="O64" s="371"/>
      <c r="P64" s="371"/>
      <c r="Q64" s="372"/>
      <c r="R64" s="372"/>
      <c r="S64" s="372"/>
      <c r="T64" s="372"/>
      <c r="U64" s="372"/>
      <c r="V64" s="372"/>
      <c r="W64" s="372"/>
      <c r="X64" s="372"/>
      <c r="Y64" s="284"/>
      <c r="Z64" s="373"/>
      <c r="AA64" s="284"/>
      <c r="AB64" s="125"/>
      <c r="AC64" s="284"/>
      <c r="AD64" s="374"/>
      <c r="AE64" s="374"/>
      <c r="AF64" s="284"/>
      <c r="AG64" s="363"/>
      <c r="AH64" s="363"/>
      <c r="AI64" s="375"/>
      <c r="AJ64" s="284"/>
      <c r="AK64" s="284"/>
      <c r="AL64" s="372"/>
      <c r="AM64" s="284"/>
      <c r="AN64" s="372"/>
      <c r="AO64" s="284"/>
      <c r="AP64" s="372"/>
      <c r="AQ64" s="284"/>
      <c r="AR64" s="372"/>
      <c r="AS64" s="284"/>
      <c r="AT64" s="372"/>
      <c r="AU64" s="284"/>
      <c r="AV64" s="372"/>
      <c r="AW64" s="284"/>
      <c r="AX64" s="372"/>
      <c r="AY64" s="284"/>
      <c r="AZ64" s="284"/>
      <c r="BA64" s="284"/>
      <c r="BB64" s="284"/>
      <c r="BC64" s="375"/>
      <c r="BD64" s="284"/>
      <c r="BE64" s="364"/>
      <c r="BF64" s="375"/>
      <c r="BG64" s="284"/>
      <c r="BH64" s="375"/>
      <c r="BI64" s="284"/>
      <c r="BJ64" s="375"/>
      <c r="BK64" s="284"/>
      <c r="BL64" s="375"/>
      <c r="BM64" s="284"/>
      <c r="BN64" s="375"/>
      <c r="BO64" s="284"/>
      <c r="BP64" s="375"/>
      <c r="BQ64" s="284"/>
      <c r="BR64" s="375"/>
      <c r="BS64" s="284"/>
      <c r="BT64" s="375"/>
      <c r="BU64" s="284"/>
      <c r="BV64" s="375"/>
      <c r="BW64" s="284"/>
      <c r="BX64" s="375"/>
      <c r="BY64" s="371"/>
      <c r="BZ64" s="372"/>
    </row>
    <row r="65" spans="1:78" s="114" customFormat="1" ht="11.25" x14ac:dyDescent="0.2">
      <c r="A65" s="366"/>
      <c r="B65" s="367"/>
      <c r="C65" s="367"/>
      <c r="D65" s="367"/>
      <c r="E65" s="367"/>
      <c r="F65" s="368"/>
      <c r="G65" s="368"/>
      <c r="H65" s="368"/>
      <c r="I65" s="368"/>
      <c r="J65" s="368"/>
      <c r="K65" s="368"/>
      <c r="L65" s="369"/>
      <c r="M65" s="370"/>
      <c r="N65" s="369"/>
      <c r="O65" s="371"/>
      <c r="P65" s="371"/>
      <c r="Q65" s="372"/>
      <c r="R65" s="372"/>
      <c r="S65" s="372"/>
      <c r="T65" s="372"/>
      <c r="U65" s="372"/>
      <c r="V65" s="372"/>
      <c r="W65" s="372"/>
      <c r="X65" s="372"/>
      <c r="Y65" s="284"/>
      <c r="Z65" s="373"/>
      <c r="AA65" s="284"/>
      <c r="AB65" s="125"/>
      <c r="AC65" s="284"/>
      <c r="AD65" s="374"/>
      <c r="AE65" s="374"/>
      <c r="AF65" s="284"/>
      <c r="AG65" s="363"/>
      <c r="AH65" s="363"/>
      <c r="AI65" s="375"/>
      <c r="AJ65" s="284"/>
      <c r="AK65" s="284"/>
      <c r="AL65" s="372"/>
      <c r="AM65" s="284"/>
      <c r="AN65" s="372"/>
      <c r="AO65" s="284"/>
      <c r="AP65" s="372"/>
      <c r="AQ65" s="284"/>
      <c r="AR65" s="372"/>
      <c r="AS65" s="284"/>
      <c r="AT65" s="372"/>
      <c r="AU65" s="284"/>
      <c r="AV65" s="372"/>
      <c r="AW65" s="284"/>
      <c r="AX65" s="372"/>
      <c r="AY65" s="284"/>
      <c r="AZ65" s="284"/>
      <c r="BA65" s="284"/>
      <c r="BB65" s="284"/>
      <c r="BC65" s="375"/>
      <c r="BD65" s="284"/>
      <c r="BE65" s="364"/>
      <c r="BF65" s="375"/>
      <c r="BG65" s="284"/>
      <c r="BH65" s="375"/>
      <c r="BI65" s="284"/>
      <c r="BJ65" s="375"/>
      <c r="BK65" s="284"/>
      <c r="BL65" s="375"/>
      <c r="BM65" s="284"/>
      <c r="BN65" s="375"/>
      <c r="BO65" s="284"/>
      <c r="BP65" s="375"/>
      <c r="BQ65" s="284"/>
      <c r="BR65" s="375"/>
      <c r="BS65" s="284"/>
      <c r="BT65" s="375"/>
      <c r="BU65" s="284"/>
      <c r="BV65" s="375"/>
      <c r="BW65" s="284"/>
      <c r="BX65" s="375"/>
      <c r="BY65" s="371"/>
      <c r="BZ65" s="372"/>
    </row>
    <row r="66" spans="1:78" s="114" customFormat="1" ht="11.25" x14ac:dyDescent="0.2">
      <c r="A66" s="366"/>
      <c r="B66" s="367"/>
      <c r="C66" s="367"/>
      <c r="D66" s="367"/>
      <c r="E66" s="367"/>
      <c r="F66" s="368"/>
      <c r="G66" s="368"/>
      <c r="H66" s="368"/>
      <c r="I66" s="368"/>
      <c r="J66" s="368"/>
      <c r="K66" s="368"/>
      <c r="L66" s="369"/>
      <c r="M66" s="370"/>
      <c r="N66" s="369"/>
      <c r="O66" s="371"/>
      <c r="P66" s="371"/>
      <c r="Q66" s="372"/>
      <c r="R66" s="372"/>
      <c r="S66" s="372"/>
      <c r="T66" s="372"/>
      <c r="U66" s="372"/>
      <c r="V66" s="372"/>
      <c r="W66" s="372"/>
      <c r="X66" s="372"/>
      <c r="Y66" s="284"/>
      <c r="Z66" s="373"/>
      <c r="AA66" s="284"/>
      <c r="AB66" s="125"/>
      <c r="AC66" s="284"/>
      <c r="AD66" s="374"/>
      <c r="AE66" s="374"/>
      <c r="AF66" s="284"/>
      <c r="AG66" s="363"/>
      <c r="AH66" s="363"/>
      <c r="AI66" s="375"/>
      <c r="AJ66" s="284"/>
      <c r="AK66" s="284"/>
      <c r="AL66" s="372"/>
      <c r="AM66" s="284"/>
      <c r="AN66" s="372"/>
      <c r="AO66" s="284"/>
      <c r="AP66" s="372"/>
      <c r="AQ66" s="284"/>
      <c r="AR66" s="372"/>
      <c r="AS66" s="284"/>
      <c r="AT66" s="372"/>
      <c r="AU66" s="284"/>
      <c r="AV66" s="372"/>
      <c r="AW66" s="284"/>
      <c r="AX66" s="372"/>
      <c r="AY66" s="284"/>
      <c r="AZ66" s="284"/>
      <c r="BA66" s="284"/>
      <c r="BB66" s="284"/>
      <c r="BC66" s="375"/>
      <c r="BD66" s="284"/>
      <c r="BE66" s="364"/>
      <c r="BF66" s="375"/>
      <c r="BG66" s="284"/>
      <c r="BH66" s="375"/>
      <c r="BI66" s="284"/>
      <c r="BJ66" s="375"/>
      <c r="BK66" s="284"/>
      <c r="BL66" s="375"/>
      <c r="BM66" s="284"/>
      <c r="BN66" s="375"/>
      <c r="BO66" s="284"/>
      <c r="BP66" s="375"/>
      <c r="BQ66" s="284"/>
      <c r="BR66" s="375"/>
      <c r="BS66" s="284"/>
      <c r="BT66" s="375"/>
      <c r="BU66" s="284"/>
      <c r="BV66" s="375"/>
      <c r="BW66" s="284"/>
      <c r="BX66" s="375"/>
      <c r="BY66" s="371"/>
      <c r="BZ66" s="372"/>
    </row>
    <row r="67" spans="1:78" s="114" customFormat="1" ht="11.25" x14ac:dyDescent="0.2">
      <c r="A67" s="366"/>
      <c r="B67" s="367"/>
      <c r="C67" s="367"/>
      <c r="D67" s="367"/>
      <c r="E67" s="367"/>
      <c r="F67" s="368"/>
      <c r="G67" s="368"/>
      <c r="H67" s="368"/>
      <c r="I67" s="368"/>
      <c r="J67" s="368"/>
      <c r="K67" s="368"/>
      <c r="L67" s="369"/>
      <c r="M67" s="370"/>
      <c r="N67" s="369"/>
      <c r="O67" s="371"/>
      <c r="P67" s="371"/>
      <c r="Q67" s="372"/>
      <c r="R67" s="372"/>
      <c r="S67" s="372"/>
      <c r="T67" s="372"/>
      <c r="U67" s="372"/>
      <c r="V67" s="372"/>
      <c r="W67" s="372"/>
      <c r="X67" s="372"/>
      <c r="Y67" s="284"/>
      <c r="Z67" s="373"/>
      <c r="AA67" s="284"/>
      <c r="AB67" s="125"/>
      <c r="AC67" s="284"/>
      <c r="AD67" s="374"/>
      <c r="AE67" s="374"/>
      <c r="AF67" s="284"/>
      <c r="AG67" s="363"/>
      <c r="AH67" s="363"/>
      <c r="AI67" s="375"/>
      <c r="AJ67" s="284"/>
      <c r="AK67" s="284"/>
      <c r="AL67" s="372"/>
      <c r="AM67" s="284"/>
      <c r="AN67" s="372"/>
      <c r="AO67" s="284"/>
      <c r="AP67" s="372"/>
      <c r="AQ67" s="284"/>
      <c r="AR67" s="372"/>
      <c r="AS67" s="284"/>
      <c r="AT67" s="372"/>
      <c r="AU67" s="284"/>
      <c r="AV67" s="372"/>
      <c r="AW67" s="284"/>
      <c r="AX67" s="372"/>
      <c r="AY67" s="284"/>
      <c r="AZ67" s="284"/>
      <c r="BA67" s="284"/>
      <c r="BB67" s="284"/>
      <c r="BC67" s="375"/>
      <c r="BD67" s="284"/>
      <c r="BE67" s="364"/>
      <c r="BF67" s="375"/>
      <c r="BG67" s="284"/>
      <c r="BH67" s="375"/>
      <c r="BI67" s="284"/>
      <c r="BJ67" s="375"/>
      <c r="BK67" s="284"/>
      <c r="BL67" s="375"/>
      <c r="BM67" s="284"/>
      <c r="BN67" s="375"/>
      <c r="BO67" s="284"/>
      <c r="BP67" s="375"/>
      <c r="BQ67" s="284"/>
      <c r="BR67" s="375"/>
      <c r="BS67" s="284"/>
      <c r="BT67" s="375"/>
      <c r="BU67" s="284"/>
      <c r="BV67" s="375"/>
      <c r="BW67" s="284"/>
      <c r="BX67" s="375"/>
      <c r="BY67" s="371"/>
      <c r="BZ67" s="372"/>
    </row>
    <row r="68" spans="1:78" s="114" customFormat="1" ht="11.25" x14ac:dyDescent="0.2">
      <c r="A68" s="366"/>
      <c r="B68" s="367"/>
      <c r="C68" s="367"/>
      <c r="D68" s="367"/>
      <c r="E68" s="367"/>
      <c r="F68" s="368"/>
      <c r="G68" s="368"/>
      <c r="H68" s="368"/>
      <c r="I68" s="368"/>
      <c r="J68" s="368"/>
      <c r="K68" s="368"/>
      <c r="L68" s="369"/>
      <c r="M68" s="370"/>
      <c r="N68" s="369"/>
      <c r="O68" s="371"/>
      <c r="P68" s="371"/>
      <c r="Q68" s="372"/>
      <c r="R68" s="372"/>
      <c r="S68" s="372"/>
      <c r="T68" s="372"/>
      <c r="U68" s="372"/>
      <c r="V68" s="372"/>
      <c r="W68" s="372"/>
      <c r="X68" s="372"/>
      <c r="Y68" s="284"/>
      <c r="Z68" s="373"/>
      <c r="AA68" s="284"/>
      <c r="AB68" s="125"/>
      <c r="AC68" s="284"/>
      <c r="AD68" s="374"/>
      <c r="AE68" s="374"/>
      <c r="AF68" s="284"/>
      <c r="AG68" s="363"/>
      <c r="AH68" s="363"/>
      <c r="AI68" s="375"/>
      <c r="AJ68" s="284"/>
      <c r="AK68" s="284"/>
      <c r="AL68" s="372"/>
      <c r="AM68" s="284"/>
      <c r="AN68" s="372"/>
      <c r="AO68" s="284"/>
      <c r="AP68" s="372"/>
      <c r="AQ68" s="284"/>
      <c r="AR68" s="372"/>
      <c r="AS68" s="284"/>
      <c r="AT68" s="372"/>
      <c r="AU68" s="284"/>
      <c r="AV68" s="372"/>
      <c r="AW68" s="284"/>
      <c r="AX68" s="372"/>
      <c r="AY68" s="284"/>
      <c r="AZ68" s="284"/>
      <c r="BA68" s="284"/>
      <c r="BB68" s="284"/>
      <c r="BC68" s="375"/>
      <c r="BD68" s="284"/>
      <c r="BE68" s="364"/>
      <c r="BF68" s="375"/>
      <c r="BG68" s="284"/>
      <c r="BH68" s="375"/>
      <c r="BI68" s="284"/>
      <c r="BJ68" s="375"/>
      <c r="BK68" s="284"/>
      <c r="BL68" s="375"/>
      <c r="BM68" s="284"/>
      <c r="BN68" s="375"/>
      <c r="BO68" s="284"/>
      <c r="BP68" s="375"/>
      <c r="BQ68" s="284"/>
      <c r="BR68" s="375"/>
      <c r="BS68" s="284"/>
      <c r="BT68" s="375"/>
      <c r="BU68" s="284"/>
      <c r="BV68" s="375"/>
      <c r="BW68" s="284"/>
      <c r="BX68" s="375"/>
      <c r="BY68" s="371"/>
      <c r="BZ68" s="372"/>
    </row>
    <row r="69" spans="1:78" s="114" customFormat="1" ht="11.25" x14ac:dyDescent="0.2">
      <c r="A69" s="366"/>
      <c r="B69" s="367"/>
      <c r="C69" s="367"/>
      <c r="D69" s="367"/>
      <c r="E69" s="367"/>
      <c r="F69" s="368"/>
      <c r="G69" s="368"/>
      <c r="H69" s="368"/>
      <c r="I69" s="368"/>
      <c r="J69" s="368"/>
      <c r="K69" s="368"/>
      <c r="L69" s="369"/>
      <c r="M69" s="370"/>
      <c r="N69" s="369"/>
      <c r="O69" s="371"/>
      <c r="P69" s="371"/>
      <c r="Q69" s="372"/>
      <c r="R69" s="372"/>
      <c r="S69" s="372"/>
      <c r="T69" s="372"/>
      <c r="U69" s="372"/>
      <c r="V69" s="372"/>
      <c r="W69" s="372"/>
      <c r="X69" s="372"/>
      <c r="Y69" s="284"/>
      <c r="Z69" s="373"/>
      <c r="AA69" s="284"/>
      <c r="AB69" s="125"/>
      <c r="AC69" s="284"/>
      <c r="AD69" s="374"/>
      <c r="AE69" s="374"/>
      <c r="AF69" s="284"/>
      <c r="AG69" s="363"/>
      <c r="AH69" s="363"/>
      <c r="AI69" s="375"/>
      <c r="AJ69" s="284"/>
      <c r="AK69" s="284"/>
      <c r="AL69" s="372"/>
      <c r="AM69" s="284"/>
      <c r="AN69" s="372"/>
      <c r="AO69" s="284"/>
      <c r="AP69" s="372"/>
      <c r="AQ69" s="284"/>
      <c r="AR69" s="372"/>
      <c r="AS69" s="284"/>
      <c r="AT69" s="372"/>
      <c r="AU69" s="284"/>
      <c r="AV69" s="372"/>
      <c r="AW69" s="284"/>
      <c r="AX69" s="372"/>
      <c r="AY69" s="284"/>
      <c r="AZ69" s="284"/>
      <c r="BA69" s="284"/>
      <c r="BB69" s="284"/>
      <c r="BC69" s="375"/>
      <c r="BD69" s="284"/>
      <c r="BE69" s="364"/>
      <c r="BF69" s="375"/>
      <c r="BG69" s="284"/>
      <c r="BH69" s="375"/>
      <c r="BI69" s="284"/>
      <c r="BJ69" s="375"/>
      <c r="BK69" s="284"/>
      <c r="BL69" s="375"/>
      <c r="BM69" s="284"/>
      <c r="BN69" s="375"/>
      <c r="BO69" s="284"/>
      <c r="BP69" s="375"/>
      <c r="BQ69" s="284"/>
      <c r="BR69" s="375"/>
      <c r="BS69" s="284"/>
      <c r="BT69" s="375"/>
      <c r="BU69" s="284"/>
      <c r="BV69" s="375"/>
      <c r="BW69" s="284"/>
      <c r="BX69" s="375"/>
      <c r="BY69" s="371"/>
      <c r="BZ69" s="372"/>
    </row>
    <row r="70" spans="1:78" ht="9" customHeight="1" x14ac:dyDescent="0.15">
      <c r="A70" s="24"/>
      <c r="B70" s="9"/>
      <c r="C70" s="70"/>
      <c r="D70" s="10"/>
      <c r="E70" s="11"/>
      <c r="F70" s="11"/>
      <c r="G70" s="11"/>
      <c r="H70" s="11"/>
      <c r="I70" s="11"/>
      <c r="J70" s="11"/>
      <c r="K70" s="11"/>
      <c r="L70" s="9"/>
      <c r="M70" s="12"/>
      <c r="N70" s="9"/>
      <c r="Y70" s="229">
        <v>15233906.010931928</v>
      </c>
      <c r="Z70" s="228" t="s">
        <v>116</v>
      </c>
      <c r="AC70" s="230">
        <v>2016</v>
      </c>
      <c r="AD70" s="427" t="str">
        <f>X52</f>
        <v xml:space="preserve">amort. ordinaria </v>
      </c>
      <c r="AE70" s="427"/>
      <c r="AF70" s="428"/>
      <c r="AG70" s="428"/>
      <c r="AH70" s="325"/>
      <c r="AJ70" s="157"/>
    </row>
    <row r="71" spans="1:78" ht="9" customHeight="1" x14ac:dyDescent="0.15">
      <c r="A71" s="24"/>
      <c r="B71" s="9"/>
      <c r="C71" s="70"/>
      <c r="D71" s="10"/>
      <c r="E71" s="11"/>
      <c r="F71" s="11"/>
      <c r="G71" s="11"/>
      <c r="H71" s="11"/>
      <c r="I71" s="11"/>
      <c r="J71" s="11"/>
      <c r="K71" s="11"/>
      <c r="L71" s="9"/>
      <c r="M71" s="12"/>
      <c r="N71" s="9"/>
      <c r="Y71" s="229"/>
      <c r="Z71" s="228"/>
      <c r="AC71" s="230"/>
      <c r="AD71" s="340"/>
      <c r="AE71" s="340"/>
      <c r="AF71" s="341"/>
      <c r="AG71" s="341"/>
      <c r="AH71" s="341"/>
      <c r="AJ71" s="157"/>
    </row>
    <row r="72" spans="1:78" ht="9" customHeight="1" x14ac:dyDescent="0.15">
      <c r="A72" s="24"/>
      <c r="B72" s="9"/>
      <c r="C72" s="70"/>
      <c r="D72" s="10"/>
      <c r="E72" s="11"/>
      <c r="F72" s="11"/>
      <c r="G72" s="11"/>
      <c r="H72" s="11"/>
      <c r="I72" s="11"/>
      <c r="J72" s="11"/>
      <c r="K72" s="11"/>
      <c r="L72" s="9"/>
      <c r="M72" s="12"/>
      <c r="N72" s="9"/>
      <c r="Y72" s="229"/>
      <c r="Z72" s="228"/>
      <c r="AC72" s="230"/>
      <c r="AD72" s="340"/>
      <c r="AE72" s="340"/>
      <c r="AF72" s="341"/>
      <c r="AG72" s="341"/>
      <c r="AH72" s="341"/>
      <c r="AJ72" s="157"/>
    </row>
    <row r="73" spans="1:78" ht="9" customHeight="1" x14ac:dyDescent="0.15">
      <c r="A73" s="24"/>
      <c r="B73" s="9"/>
      <c r="C73" s="70"/>
      <c r="D73" s="10"/>
      <c r="E73" s="11"/>
      <c r="F73" s="11"/>
      <c r="G73" s="11"/>
      <c r="H73" s="11"/>
      <c r="I73" s="11"/>
      <c r="J73" s="11"/>
      <c r="K73" s="11"/>
      <c r="L73" s="9"/>
      <c r="M73" s="12"/>
      <c r="N73" s="9"/>
      <c r="Y73" s="229"/>
      <c r="Z73" s="228"/>
      <c r="AC73" s="230"/>
      <c r="AD73" s="340"/>
      <c r="AE73" s="340"/>
      <c r="AF73" s="341"/>
      <c r="AG73" s="341"/>
      <c r="AH73" s="341"/>
      <c r="AJ73" s="157"/>
    </row>
    <row r="74" spans="1:78" ht="9.6" customHeight="1" x14ac:dyDescent="0.15">
      <c r="A74" s="24"/>
      <c r="B74" s="9"/>
      <c r="C74" s="70"/>
      <c r="D74" s="10"/>
      <c r="E74" s="11"/>
      <c r="F74" s="11"/>
      <c r="G74" s="11"/>
      <c r="H74" s="11"/>
      <c r="I74" s="11"/>
      <c r="J74" s="11"/>
      <c r="K74" s="11"/>
      <c r="L74" s="9"/>
      <c r="M74" s="12"/>
      <c r="N74" s="9"/>
      <c r="Y74" s="228" t="s">
        <v>117</v>
      </c>
      <c r="Z74" s="283">
        <v>187460676.59999999</v>
      </c>
      <c r="AC74" s="158">
        <f>Y52</f>
        <v>2805954.67</v>
      </c>
      <c r="AD74" s="158">
        <f>AA51</f>
        <v>7074683.3987982161</v>
      </c>
      <c r="AE74" s="158"/>
      <c r="AF74" s="426" t="s">
        <v>153</v>
      </c>
      <c r="AG74" s="426"/>
      <c r="AH74" s="331" t="s">
        <v>152</v>
      </c>
      <c r="AI74" s="330">
        <v>142045959.97999999</v>
      </c>
      <c r="AJ74" s="158">
        <f>AK51</f>
        <v>0</v>
      </c>
      <c r="AM74" s="158">
        <f>AM51</f>
        <v>0</v>
      </c>
      <c r="AO74" s="158">
        <f>AO51</f>
        <v>0</v>
      </c>
      <c r="AQ74" s="158">
        <f>AQ51</f>
        <v>0</v>
      </c>
      <c r="AS74" s="158">
        <f>AS51</f>
        <v>0</v>
      </c>
      <c r="AU74" s="158">
        <f>AU51</f>
        <v>0</v>
      </c>
      <c r="AW74" s="158">
        <f>AW51</f>
        <v>0</v>
      </c>
      <c r="AY74" s="158">
        <f>AY51</f>
        <v>0</v>
      </c>
      <c r="AZ74" s="158"/>
      <c r="BA74" s="158"/>
      <c r="BB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</row>
    <row r="131" spans="37:79" x14ac:dyDescent="0.15">
      <c r="CA131" s="210"/>
    </row>
    <row r="135" spans="37:79" x14ac:dyDescent="0.15">
      <c r="AK135" s="210"/>
      <c r="AL135" s="210"/>
      <c r="AN135" s="210"/>
      <c r="AP135" s="210"/>
      <c r="AR135" s="210"/>
      <c r="AT135" s="210"/>
      <c r="AV135" s="210"/>
      <c r="AX135" s="210"/>
      <c r="BY135" s="210"/>
      <c r="BZ135" s="210"/>
    </row>
    <row r="182" spans="24:76" x14ac:dyDescent="0.15">
      <c r="AC182" s="1">
        <v>2016</v>
      </c>
      <c r="AD182" s="1">
        <v>2017</v>
      </c>
      <c r="AF182" s="1">
        <v>2018</v>
      </c>
      <c r="AG182" s="1">
        <v>2019</v>
      </c>
      <c r="AI182" s="1">
        <v>2020</v>
      </c>
      <c r="AJ182" s="1">
        <v>2021</v>
      </c>
      <c r="AM182" s="1">
        <v>2020</v>
      </c>
      <c r="AO182" s="1">
        <v>2020</v>
      </c>
      <c r="AQ182" s="1">
        <v>2020</v>
      </c>
      <c r="AS182" s="1">
        <v>2020</v>
      </c>
      <c r="AU182" s="1">
        <v>2020</v>
      </c>
      <c r="AW182" s="1">
        <v>2020</v>
      </c>
      <c r="AY182" s="1">
        <v>2020</v>
      </c>
    </row>
    <row r="183" spans="24:76" ht="9.6" customHeight="1" x14ac:dyDescent="0.15">
      <c r="X183" s="393" t="s">
        <v>74</v>
      </c>
      <c r="Y183" s="393"/>
      <c r="Z183" s="393"/>
      <c r="AC183" s="2">
        <v>2805954.67</v>
      </c>
      <c r="AD183" s="141">
        <v>2177535.96</v>
      </c>
      <c r="AE183" s="141"/>
      <c r="AF183" s="141">
        <v>1797442.39</v>
      </c>
      <c r="AG183" s="141">
        <v>1854214.52</v>
      </c>
      <c r="AH183" s="141"/>
      <c r="AI183" s="141">
        <v>1914859.67</v>
      </c>
      <c r="AJ183" s="141">
        <v>1179212.8799999999</v>
      </c>
      <c r="AM183" s="141">
        <v>1914859.67</v>
      </c>
      <c r="AO183" s="141">
        <v>1914859.67</v>
      </c>
      <c r="AQ183" s="141">
        <v>1914859.67</v>
      </c>
      <c r="AS183" s="141">
        <v>1914859.67</v>
      </c>
      <c r="AU183" s="141">
        <v>1914859.67</v>
      </c>
      <c r="AW183" s="141">
        <v>1914859.67</v>
      </c>
      <c r="AY183" s="141">
        <v>1914859.67</v>
      </c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</row>
    <row r="184" spans="24:76" ht="9.6" customHeight="1" x14ac:dyDescent="0.15">
      <c r="X184" s="393" t="s">
        <v>75</v>
      </c>
      <c r="Y184" s="393"/>
      <c r="Z184" s="393"/>
      <c r="AA184" s="393"/>
      <c r="AB184" s="393"/>
      <c r="AC184" s="2">
        <v>8254490</v>
      </c>
      <c r="AD184" s="141"/>
      <c r="AE184" s="141"/>
      <c r="AF184" s="141"/>
      <c r="AG184" s="141"/>
      <c r="AH184" s="141"/>
      <c r="AI184" s="141"/>
      <c r="AJ184" s="141"/>
      <c r="AM184" s="141"/>
      <c r="AO184" s="141"/>
      <c r="AQ184" s="141"/>
      <c r="AS184" s="141"/>
      <c r="AU184" s="141"/>
      <c r="AW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</row>
  </sheetData>
  <mergeCells count="80">
    <mergeCell ref="BG55:BH55"/>
    <mergeCell ref="BI55:BJ55"/>
    <mergeCell ref="BK55:BL55"/>
    <mergeCell ref="BU55:BV55"/>
    <mergeCell ref="BW2:BX2"/>
    <mergeCell ref="BW55:BX55"/>
    <mergeCell ref="BO55:BP55"/>
    <mergeCell ref="BQ55:BR55"/>
    <mergeCell ref="BS55:BT55"/>
    <mergeCell ref="BM55:BN55"/>
    <mergeCell ref="M2:N2"/>
    <mergeCell ref="O2:P2"/>
    <mergeCell ref="AL2:AM2"/>
    <mergeCell ref="M52:O52"/>
    <mergeCell ref="AB55:AC55"/>
    <mergeCell ref="AN2:AO2"/>
    <mergeCell ref="BG2:BH2"/>
    <mergeCell ref="AJ2:AK2"/>
    <mergeCell ref="BB2:BC2"/>
    <mergeCell ref="AD55:AF55"/>
    <mergeCell ref="AG55:AI55"/>
    <mergeCell ref="AJ55:AK55"/>
    <mergeCell ref="AL55:AM55"/>
    <mergeCell ref="BD55:BF55"/>
    <mergeCell ref="BB55:BC55"/>
    <mergeCell ref="Z11:AL12"/>
    <mergeCell ref="AP2:AQ2"/>
    <mergeCell ref="AN55:AO55"/>
    <mergeCell ref="AP55:AQ55"/>
    <mergeCell ref="AD2:AF2"/>
    <mergeCell ref="AG2:AI2"/>
    <mergeCell ref="BY28:BY29"/>
    <mergeCell ref="BZ28:BZ29"/>
    <mergeCell ref="BD2:BF2"/>
    <mergeCell ref="BO2:BP2"/>
    <mergeCell ref="BQ2:BR2"/>
    <mergeCell ref="BS2:BT2"/>
    <mergeCell ref="BY9:BY11"/>
    <mergeCell ref="BI2:BJ2"/>
    <mergeCell ref="BK2:BL2"/>
    <mergeCell ref="BM2:BN2"/>
    <mergeCell ref="BU2:BV2"/>
    <mergeCell ref="BZ4:BZ5"/>
    <mergeCell ref="BZ6:BZ7"/>
    <mergeCell ref="BZ11:BZ12"/>
    <mergeCell ref="BY4:BY7"/>
    <mergeCell ref="A8:B8"/>
    <mergeCell ref="A4:B4"/>
    <mergeCell ref="BD19:BH19"/>
    <mergeCell ref="B16:C16"/>
    <mergeCell ref="A24:B24"/>
    <mergeCell ref="AZ2:BA2"/>
    <mergeCell ref="AR2:AS2"/>
    <mergeCell ref="AZ55:BA55"/>
    <mergeCell ref="AR55:AS55"/>
    <mergeCell ref="AT2:AU2"/>
    <mergeCell ref="AT55:AU55"/>
    <mergeCell ref="AX2:AY2"/>
    <mergeCell ref="AX55:AY55"/>
    <mergeCell ref="AV2:AW2"/>
    <mergeCell ref="AV55:AW55"/>
    <mergeCell ref="AB6:AE6"/>
    <mergeCell ref="AB31:AE31"/>
    <mergeCell ref="AB43:AE43"/>
    <mergeCell ref="AB45:AE45"/>
    <mergeCell ref="AB48:AE48"/>
    <mergeCell ref="B39:C39"/>
    <mergeCell ref="A42:B42"/>
    <mergeCell ref="X184:AB184"/>
    <mergeCell ref="X183:Z183"/>
    <mergeCell ref="AG17:BB17"/>
    <mergeCell ref="AB49:AE49"/>
    <mergeCell ref="B59:E59"/>
    <mergeCell ref="B33:C33"/>
    <mergeCell ref="B36:C36"/>
    <mergeCell ref="B58:E58"/>
    <mergeCell ref="B57:E57"/>
    <mergeCell ref="M51:O51"/>
    <mergeCell ref="AF74:AG74"/>
    <mergeCell ref="AD70:AG70"/>
  </mergeCells>
  <phoneticPr fontId="0" type="noConversion"/>
  <printOptions horizontalCentered="1"/>
  <pageMargins left="0.7" right="0.7" top="0.75" bottom="0.75" header="0.3" footer="0.3"/>
  <pageSetup paperSize="8" orientation="landscape" verticalDpi="300" copies="4" r:id="rId1"/>
  <headerFooter alignWithMargins="0"/>
  <rowBreaks count="1" manualBreakCount="1">
    <brk id="10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B10" sqref="B10"/>
    </sheetView>
  </sheetViews>
  <sheetFormatPr baseColWidth="10" defaultRowHeight="12.75" x14ac:dyDescent="0.2"/>
  <cols>
    <col min="1" max="1" width="17.5703125" style="276" customWidth="1"/>
    <col min="2" max="2" width="11.7109375" bestFit="1" customWidth="1"/>
  </cols>
  <sheetData>
    <row r="1" spans="1:4" x14ac:dyDescent="0.2">
      <c r="B1" s="279" t="s">
        <v>108</v>
      </c>
      <c r="C1" s="279" t="s">
        <v>109</v>
      </c>
    </row>
    <row r="2" spans="1:4" x14ac:dyDescent="0.2">
      <c r="A2" s="276">
        <v>2018</v>
      </c>
      <c r="B2" s="275">
        <v>1117887.5125</v>
      </c>
      <c r="C2" s="275">
        <v>38297.078812999993</v>
      </c>
    </row>
    <row r="3" spans="1:4" x14ac:dyDescent="0.2">
      <c r="A3" s="276">
        <v>2019</v>
      </c>
      <c r="B3" s="275">
        <v>2099600.0199999996</v>
      </c>
    </row>
    <row r="4" spans="1:4" x14ac:dyDescent="0.2">
      <c r="A4" s="276">
        <v>2020</v>
      </c>
      <c r="B4" s="275">
        <v>2271173.4</v>
      </c>
    </row>
    <row r="5" spans="1:4" x14ac:dyDescent="0.2">
      <c r="A5" s="276">
        <v>2021</v>
      </c>
      <c r="B5" s="275">
        <v>2056658.2500000005</v>
      </c>
    </row>
    <row r="6" spans="1:4" x14ac:dyDescent="0.2">
      <c r="A6" s="280" t="s">
        <v>110</v>
      </c>
      <c r="B6" s="277">
        <f>AVERAGE(B2:B5)</f>
        <v>1886329.7956249998</v>
      </c>
      <c r="C6" s="277">
        <v>38297.078813</v>
      </c>
      <c r="D6" s="279" t="s">
        <v>111</v>
      </c>
    </row>
    <row r="8" spans="1:4" x14ac:dyDescent="0.2">
      <c r="A8" s="276" t="s">
        <v>151</v>
      </c>
      <c r="B8" s="276">
        <v>2020</v>
      </c>
    </row>
    <row r="9" spans="1:4" x14ac:dyDescent="0.2">
      <c r="A9" s="282" t="s">
        <v>114</v>
      </c>
      <c r="B9" s="275">
        <v>1223063.95</v>
      </c>
    </row>
    <row r="10" spans="1:4" x14ac:dyDescent="0.2">
      <c r="A10" s="282" t="s">
        <v>115</v>
      </c>
      <c r="B10" s="275" t="e">
        <f>0.3%*'2021-2031'!#REF!</f>
        <v>#REF!</v>
      </c>
      <c r="C10" s="278" t="s">
        <v>155</v>
      </c>
    </row>
    <row r="11" spans="1:4" x14ac:dyDescent="0.2">
      <c r="A11" s="280" t="s">
        <v>112</v>
      </c>
      <c r="B11" s="277" t="e">
        <f>SUM(B9:B10)</f>
        <v>#REF!</v>
      </c>
    </row>
    <row r="12" spans="1:4" x14ac:dyDescent="0.2">
      <c r="A12" s="280"/>
      <c r="B12" s="277"/>
    </row>
    <row r="13" spans="1:4" x14ac:dyDescent="0.2">
      <c r="A13" s="276" t="s">
        <v>151</v>
      </c>
      <c r="B13" s="276">
        <v>2022</v>
      </c>
    </row>
    <row r="14" spans="1:4" x14ac:dyDescent="0.2">
      <c r="A14" s="282" t="s">
        <v>114</v>
      </c>
      <c r="B14" s="275">
        <v>0</v>
      </c>
    </row>
    <row r="15" spans="1:4" x14ac:dyDescent="0.2">
      <c r="A15" s="282" t="s">
        <v>115</v>
      </c>
      <c r="B15" s="275">
        <v>0</v>
      </c>
    </row>
    <row r="17" spans="1:1" s="278" customFormat="1" x14ac:dyDescent="0.2">
      <c r="A17" s="281" t="s">
        <v>113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2021-2031</vt:lpstr>
      <vt:lpstr>ATA mazo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Chus</cp:lastModifiedBy>
  <cp:lastPrinted>2022-06-17T12:18:08Z</cp:lastPrinted>
  <dcterms:created xsi:type="dcterms:W3CDTF">1996-11-27T10:00:04Z</dcterms:created>
  <dcterms:modified xsi:type="dcterms:W3CDTF">2022-06-21T06:15:29Z</dcterms:modified>
</cp:coreProperties>
</file>